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54EA4EB7-9370-4D18-A7B8-541523EAFC9E}" xr6:coauthVersionLast="45" xr6:coauthVersionMax="45" xr10:uidLastSave="{00000000-0000-0000-0000-000000000000}"/>
  <bookViews>
    <workbookView xWindow="780" yWindow="780" windowWidth="21600" windowHeight="11325" xr2:uid="{00000000-000D-0000-FFFF-FFFF00000000}"/>
  </bookViews>
  <sheets>
    <sheet name="2(b)" sheetId="10" r:id="rId1"/>
    <sheet name="2(c)" sheetId="11" r:id="rId2"/>
    <sheet name="3(b)(i)" sheetId="12" r:id="rId3"/>
    <sheet name="4(b)(i)(ii)" sheetId="13" r:id="rId4"/>
    <sheet name="8(b)(ii)-(c)(i)" sheetId="9" r:id="rId5"/>
  </sheets>
  <externalReferences>
    <externalReference r:id="rId6"/>
    <externalReference r:id="rId7"/>
  </externalReferences>
  <definedNames>
    <definedName name="Beta_PensionLiab">#REF!</definedName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3" l="1"/>
  <c r="C27" i="13"/>
  <c r="C28" i="13"/>
  <c r="C29" i="13"/>
  <c r="F21" i="13" s="1"/>
  <c r="C33" i="13"/>
  <c r="C35" i="13" s="1"/>
  <c r="F22" i="13" s="1"/>
  <c r="C34" i="13"/>
  <c r="D9" i="12"/>
  <c r="E9" i="12"/>
  <c r="F9" i="12" s="1"/>
  <c r="F14" i="12" s="1"/>
  <c r="C19" i="12" s="1"/>
  <c r="D10" i="12"/>
  <c r="E10" i="12"/>
  <c r="F10" i="12"/>
  <c r="D11" i="12"/>
  <c r="E11" i="12" s="1"/>
  <c r="F11" i="12" s="1"/>
  <c r="D12" i="12"/>
  <c r="E12" i="12" s="1"/>
  <c r="F12" i="12" s="1"/>
  <c r="D13" i="12"/>
  <c r="E13" i="12"/>
  <c r="F13" i="12"/>
  <c r="B35" i="11"/>
  <c r="B39" i="11" s="1"/>
  <c r="B25" i="11" s="1"/>
  <c r="B40" i="11"/>
  <c r="B24" i="11" s="1"/>
  <c r="B34" i="10"/>
  <c r="D34" i="10" s="1"/>
  <c r="C34" i="10"/>
  <c r="G34" i="10"/>
  <c r="B40" i="10"/>
  <c r="D40" i="10"/>
  <c r="E40" i="10"/>
  <c r="F40" i="10"/>
  <c r="G40" i="10"/>
  <c r="H40" i="10"/>
  <c r="B41" i="10"/>
  <c r="D41" i="10"/>
  <c r="E41" i="10"/>
  <c r="F41" i="10"/>
  <c r="G41" i="10"/>
  <c r="H41" i="10"/>
  <c r="B42" i="10"/>
  <c r="D42" i="10" s="1"/>
  <c r="C42" i="10"/>
  <c r="G42" i="10"/>
  <c r="H42" i="10"/>
  <c r="B48" i="10"/>
  <c r="E42" i="10" l="1"/>
  <c r="F42" i="10"/>
  <c r="C22" i="10"/>
  <c r="E34" i="10"/>
  <c r="B22" i="10" s="1"/>
  <c r="F34" i="10"/>
  <c r="B23" i="10" s="1"/>
  <c r="C23" i="10"/>
  <c r="D30" i="9"/>
  <c r="B49" i="10" l="1"/>
  <c r="B52" i="10" s="1"/>
  <c r="B53" i="10" s="1"/>
  <c r="D25" i="10" s="1"/>
  <c r="D22" i="10"/>
  <c r="B50" i="10"/>
  <c r="D23" i="10"/>
  <c r="C75" i="9"/>
  <c r="D75" i="9"/>
  <c r="D77" i="9" s="1"/>
  <c r="B75" i="9"/>
  <c r="C73" i="9"/>
  <c r="D73" i="9"/>
  <c r="B73" i="9"/>
  <c r="C77" i="9"/>
  <c r="C67" i="9"/>
  <c r="D67" i="9"/>
  <c r="B67" i="9"/>
  <c r="B51" i="9"/>
  <c r="C65" i="9"/>
  <c r="D65" i="9"/>
  <c r="B65" i="9"/>
  <c r="C63" i="9"/>
  <c r="D63" i="9"/>
  <c r="B63" i="9"/>
  <c r="C58" i="9"/>
  <c r="C57" i="9"/>
  <c r="C51" i="9"/>
  <c r="D51" i="9"/>
  <c r="C28" i="9"/>
  <c r="D28" i="9"/>
  <c r="B28" i="9"/>
  <c r="C49" i="9"/>
  <c r="D49" i="9"/>
  <c r="B49" i="9"/>
  <c r="C47" i="9"/>
  <c r="D47" i="9"/>
  <c r="B47" i="9"/>
  <c r="C27" i="9"/>
  <c r="D27" i="9"/>
  <c r="B27" i="9"/>
  <c r="B77" i="9" l="1"/>
</calcChain>
</file>

<file path=xl/sharedStrings.xml><?xml version="1.0" encoding="utf-8"?>
<sst xmlns="http://schemas.openxmlformats.org/spreadsheetml/2006/main" count="191" uniqueCount="144">
  <si>
    <t>ERM Exam Fall 2020</t>
  </si>
  <si>
    <t>Question 8</t>
  </si>
  <si>
    <t>Calculate the Net Required Capital.  Show your work.</t>
  </si>
  <si>
    <t>Calculate the change in BCAR for each activity. Show your work.</t>
  </si>
  <si>
    <t>B1</t>
  </si>
  <si>
    <t>B2</t>
  </si>
  <si>
    <t>B3</t>
  </si>
  <si>
    <t>B4</t>
  </si>
  <si>
    <t>B5</t>
  </si>
  <si>
    <t>B6</t>
  </si>
  <si>
    <t>B7</t>
  </si>
  <si>
    <t>B8</t>
  </si>
  <si>
    <t>VAR 95.0</t>
  </si>
  <si>
    <t>VAR 99.0</t>
  </si>
  <si>
    <t>VAR 99.6</t>
  </si>
  <si>
    <t>ANSWER:</t>
  </si>
  <si>
    <t>The components of Gross Required Capital for BCAR are shown in the table below ($ 000's).</t>
  </si>
  <si>
    <t>(b)(ii)</t>
  </si>
  <si>
    <t>(c)(i)</t>
  </si>
  <si>
    <t>Karl Michaels and Archie Daniels have proposed the following activities to quickly increase the BCAR score should it become necessary.</t>
  </si>
  <si>
    <t>- Sell all equity investments and invest the proceeds in short term government bonds.</t>
  </si>
  <si>
    <t>- Raise $100 million additional capital and invest the proceeds proportionally in the same portfolio as existing assets.</t>
  </si>
  <si>
    <t>- Enter a new quota share reinsurance agreement to reinsure 50% of currently retained premium.</t>
  </si>
  <si>
    <t>AM Best has calculated Available Capital as ($ 000's)</t>
  </si>
  <si>
    <t>The covariance formula for NRC is:</t>
  </si>
  <si>
    <t>Net Required Capital =</t>
  </si>
  <si>
    <t xml:space="preserve">(1) When stocks are sold and proceeds invested in short-term government bonds, the B2 component goes to 0, </t>
  </si>
  <si>
    <t>and there is no increase in the capital needed to support fixed-income investments because U.S. treasuries have no capital charge.</t>
  </si>
  <si>
    <t xml:space="preserve">New Net Required Capital = </t>
  </si>
  <si>
    <t>BCAR =</t>
  </si>
  <si>
    <t>Change in BCAR =</t>
  </si>
  <si>
    <t xml:space="preserve">(2)  When capital is raised, there is a temptation to leave the NRC the same, and adjust only the Available Capital. </t>
  </si>
  <si>
    <t>The question states that the portfolio proportions remain the same, so can proportionally increase the asset risks to account for additional risk.</t>
  </si>
  <si>
    <t>Factor for increasing asset components = (Available Capital + Additional Capital)/ Available Capital</t>
  </si>
  <si>
    <t xml:space="preserve">New Available Capital = </t>
  </si>
  <si>
    <t>Factor =</t>
  </si>
  <si>
    <t>New Net Required Capital =</t>
  </si>
  <si>
    <t>(3) When 50% of the business is reinsured, the B6 component is reduced by 50%.</t>
  </si>
  <si>
    <t>Responses for parts (a)(i), (a)(ii), (b)(i), (b)(iii), and (c)(ii) are to be provided in the Word document.  Answers to (b)(ii) and (c)(i) are to be provided below.</t>
  </si>
  <si>
    <t>At a Very Strong assessment, use 99.6 for Net Required Capital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</si>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</sst>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00000_);_(* \(#,##0.000000\);_(* &quot;-&quot;??_);_(@_)"/>
    <numFmt numFmtId="166" formatCode="#,##0.0000"/>
    <numFmt numFmtId="167" formatCode="0.0000_);\(0.0000\)"/>
    <numFmt numFmtId="168" formatCode="_(* #,##0.0000_);_(* \(#,##0.0000\);_(* &quot;-&quot;??_);_(@_)"/>
    <numFmt numFmtId="169" formatCode="0.0000"/>
    <numFmt numFmtId="170" formatCode="_(* #,##0.0_);_(* \(#,##0.0\);_(* &quot;-&quot;??_);_(@_)"/>
    <numFmt numFmtId="171" formatCode="0.000"/>
    <numFmt numFmtId="172" formatCode="_(* #,##0_);_(* \(#,##0\);_(* &quot;-&quot;??_);_(@_)"/>
    <numFmt numFmtId="173" formatCode="0.000000"/>
    <numFmt numFmtId="17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  <font>
      <sz val="12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2">
    <xf numFmtId="0" fontId="0" fillId="0" borderId="0"/>
    <xf numFmtId="0" fontId="1" fillId="0" borderId="0"/>
    <xf numFmtId="0" fontId="6" fillId="0" borderId="0"/>
    <xf numFmtId="0" fontId="24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7" applyNumberFormat="0" applyAlignment="0" applyProtection="0"/>
    <xf numFmtId="0" fontId="10" fillId="20" borderId="17" applyNumberFormat="0" applyAlignment="0" applyProtection="0"/>
    <xf numFmtId="0" fontId="11" fillId="21" borderId="18" applyNumberFormat="0" applyAlignment="0" applyProtection="0"/>
    <xf numFmtId="0" fontId="11" fillId="21" borderId="18" applyNumberFormat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7" applyNumberFormat="0" applyAlignment="0" applyProtection="0"/>
    <xf numFmtId="0" fontId="17" fillId="7" borderId="17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23" applyNumberFormat="0" applyFont="0" applyAlignment="0" applyProtection="0"/>
    <xf numFmtId="0" fontId="6" fillId="23" borderId="23" applyNumberFormat="0" applyFont="0" applyAlignment="0" applyProtection="0"/>
    <xf numFmtId="0" fontId="20" fillId="20" borderId="24" applyNumberFormat="0" applyAlignment="0" applyProtection="0"/>
    <xf numFmtId="0" fontId="20" fillId="20" borderId="24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2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0" fontId="2" fillId="0" borderId="0" xfId="1" applyFont="1" applyAlignment="1"/>
    <xf numFmtId="3" fontId="2" fillId="0" borderId="14" xfId="1" applyNumberFormat="1" applyFont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3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10" xfId="1" applyFont="1" applyBorder="1"/>
    <xf numFmtId="9" fontId="3" fillId="0" borderId="11" xfId="1" applyNumberFormat="1" applyFont="1" applyBorder="1" applyAlignment="1">
      <alignment horizontal="center"/>
    </xf>
    <xf numFmtId="9" fontId="3" fillId="0" borderId="16" xfId="1" applyNumberFormat="1" applyFont="1" applyBorder="1" applyAlignment="1">
      <alignment horizontal="center"/>
    </xf>
    <xf numFmtId="9" fontId="3" fillId="0" borderId="12" xfId="1" applyNumberFormat="1" applyFont="1" applyBorder="1" applyAlignment="1">
      <alignment horizontal="center"/>
    </xf>
    <xf numFmtId="0" fontId="3" fillId="0" borderId="3" xfId="1" applyFont="1" applyBorder="1"/>
    <xf numFmtId="0" fontId="3" fillId="0" borderId="5" xfId="1" applyFont="1" applyBorder="1"/>
    <xf numFmtId="0" fontId="3" fillId="0" borderId="7" xfId="1" applyFont="1" applyBorder="1"/>
    <xf numFmtId="3" fontId="2" fillId="0" borderId="0" xfId="1" applyNumberFormat="1" applyFont="1" applyBorder="1" applyAlignment="1"/>
    <xf numFmtId="0" fontId="2" fillId="0" borderId="0" xfId="0" quotePrefix="1" applyFont="1"/>
    <xf numFmtId="3" fontId="2" fillId="0" borderId="0" xfId="0" applyNumberFormat="1" applyFont="1"/>
    <xf numFmtId="3" fontId="2" fillId="24" borderId="26" xfId="0" applyNumberFormat="1" applyFont="1" applyFill="1" applyBorder="1"/>
    <xf numFmtId="0" fontId="2" fillId="24" borderId="26" xfId="0" applyFont="1" applyFill="1" applyBorder="1"/>
    <xf numFmtId="0" fontId="2" fillId="0" borderId="0" xfId="107" applyFont="1"/>
    <xf numFmtId="0" fontId="1" fillId="0" borderId="0" xfId="108"/>
    <xf numFmtId="0" fontId="25" fillId="0" borderId="0" xfId="108" applyFont="1"/>
    <xf numFmtId="43" fontId="25" fillId="0" borderId="0" xfId="108" applyNumberFormat="1" applyFont="1"/>
    <xf numFmtId="165" fontId="25" fillId="0" borderId="0" xfId="59" applyNumberFormat="1" applyFont="1"/>
    <xf numFmtId="3" fontId="26" fillId="25" borderId="2" xfId="108" applyNumberFormat="1" applyFont="1" applyFill="1" applyBorder="1"/>
    <xf numFmtId="0" fontId="26" fillId="26" borderId="2" xfId="108" applyFont="1" applyFill="1" applyBorder="1"/>
    <xf numFmtId="166" fontId="26" fillId="25" borderId="2" xfId="108" applyNumberFormat="1" applyFont="1" applyFill="1" applyBorder="1"/>
    <xf numFmtId="167" fontId="25" fillId="0" borderId="2" xfId="108" applyNumberFormat="1" applyFont="1" applyBorder="1"/>
    <xf numFmtId="0" fontId="25" fillId="0" borderId="2" xfId="108" applyFont="1" applyBorder="1"/>
    <xf numFmtId="3" fontId="25" fillId="0" borderId="2" xfId="108" applyNumberFormat="1" applyFont="1" applyBorder="1"/>
    <xf numFmtId="168" fontId="1" fillId="0" borderId="0" xfId="108" applyNumberFormat="1"/>
    <xf numFmtId="43" fontId="1" fillId="0" borderId="0" xfId="59" applyFont="1"/>
    <xf numFmtId="169" fontId="25" fillId="0" borderId="2" xfId="108" applyNumberFormat="1" applyFont="1" applyBorder="1" applyAlignment="1">
      <alignment horizontal="center"/>
    </xf>
    <xf numFmtId="0" fontId="25" fillId="0" borderId="2" xfId="108" applyFont="1" applyBorder="1" applyAlignment="1">
      <alignment horizontal="center"/>
    </xf>
    <xf numFmtId="43" fontId="1" fillId="0" borderId="0" xfId="108" applyNumberFormat="1"/>
    <xf numFmtId="170" fontId="1" fillId="0" borderId="0" xfId="108" applyNumberFormat="1"/>
    <xf numFmtId="0" fontId="26" fillId="26" borderId="2" xfId="108" applyFont="1" applyFill="1" applyBorder="1" applyAlignment="1">
      <alignment horizontal="center" wrapText="1"/>
    </xf>
    <xf numFmtId="0" fontId="26" fillId="26" borderId="2" xfId="108" applyFont="1" applyFill="1" applyBorder="1" applyAlignment="1">
      <alignment horizontal="center"/>
    </xf>
    <xf numFmtId="0" fontId="27" fillId="0" borderId="0" xfId="108" applyFont="1"/>
    <xf numFmtId="0" fontId="25" fillId="0" borderId="0" xfId="108" applyFont="1" applyAlignment="1">
      <alignment horizontal="center"/>
    </xf>
    <xf numFmtId="0" fontId="25" fillId="0" borderId="0" xfId="107" applyFont="1"/>
    <xf numFmtId="0" fontId="2" fillId="27" borderId="0" xfId="107" applyFont="1" applyFill="1"/>
    <xf numFmtId="1" fontId="2" fillId="24" borderId="26" xfId="107" applyNumberFormat="1" applyFont="1" applyFill="1" applyBorder="1"/>
    <xf numFmtId="0" fontId="2" fillId="0" borderId="0" xfId="108" applyFont="1"/>
    <xf numFmtId="0" fontId="5" fillId="0" borderId="0" xfId="108" applyFont="1"/>
    <xf numFmtId="169" fontId="2" fillId="24" borderId="9" xfId="107" applyNumberFormat="1" applyFont="1" applyFill="1" applyBorder="1"/>
    <xf numFmtId="171" fontId="2" fillId="24" borderId="8" xfId="107" applyNumberFormat="1" applyFont="1" applyFill="1" applyBorder="1"/>
    <xf numFmtId="169" fontId="2" fillId="24" borderId="7" xfId="108" applyNumberFormat="1" applyFont="1" applyFill="1" applyBorder="1"/>
    <xf numFmtId="169" fontId="2" fillId="24" borderId="27" xfId="107" applyNumberFormat="1" applyFont="1" applyFill="1" applyBorder="1"/>
    <xf numFmtId="169" fontId="2" fillId="24" borderId="28" xfId="107" applyNumberFormat="1" applyFont="1" applyFill="1" applyBorder="1"/>
    <xf numFmtId="169" fontId="2" fillId="24" borderId="29" xfId="108" applyNumberFormat="1" applyFont="1" applyFill="1" applyBorder="1"/>
    <xf numFmtId="0" fontId="3" fillId="0" borderId="30" xfId="108" applyFont="1" applyBorder="1" applyAlignment="1">
      <alignment horizontal="center"/>
    </xf>
    <xf numFmtId="0" fontId="2" fillId="0" borderId="9" xfId="108" applyFont="1" applyBorder="1" applyAlignment="1">
      <alignment vertical="center"/>
    </xf>
    <xf numFmtId="0" fontId="2" fillId="0" borderId="8" xfId="107" applyFont="1" applyBorder="1" applyAlignment="1">
      <alignment vertical="center" wrapText="1"/>
    </xf>
    <xf numFmtId="0" fontId="1" fillId="0" borderId="7" xfId="107" applyBorder="1"/>
    <xf numFmtId="3" fontId="2" fillId="0" borderId="4" xfId="108" applyNumberFormat="1" applyFont="1" applyBorder="1" applyAlignment="1">
      <alignment horizontal="right" vertical="center"/>
    </xf>
    <xf numFmtId="0" fontId="2" fillId="0" borderId="1" xfId="107" applyFont="1" applyBorder="1" applyAlignment="1">
      <alignment vertical="center" wrapText="1"/>
    </xf>
    <xf numFmtId="0" fontId="1" fillId="0" borderId="3" xfId="107" applyBorder="1"/>
    <xf numFmtId="0" fontId="4" fillId="0" borderId="12" xfId="107" applyFont="1" applyBorder="1" applyAlignment="1">
      <alignment horizontal="center" vertical="center" wrapText="1"/>
    </xf>
    <xf numFmtId="0" fontId="4" fillId="0" borderId="11" xfId="107" applyFont="1" applyBorder="1" applyAlignment="1">
      <alignment horizontal="center" vertical="center" wrapText="1"/>
    </xf>
    <xf numFmtId="0" fontId="4" fillId="0" borderId="10" xfId="107" applyFont="1" applyBorder="1" applyAlignment="1">
      <alignment horizontal="center" vertical="center" wrapText="1"/>
    </xf>
    <xf numFmtId="0" fontId="2" fillId="0" borderId="9" xfId="108" applyFont="1" applyBorder="1" applyAlignment="1">
      <alignment horizontal="center"/>
    </xf>
    <xf numFmtId="0" fontId="2" fillId="0" borderId="8" xfId="108" applyFont="1" applyBorder="1" applyAlignment="1">
      <alignment horizontal="center"/>
    </xf>
    <xf numFmtId="0" fontId="2" fillId="0" borderId="7" xfId="108" applyFont="1" applyBorder="1"/>
    <xf numFmtId="10" fontId="2" fillId="0" borderId="6" xfId="108" applyNumberFormat="1" applyFont="1" applyBorder="1" applyAlignment="1">
      <alignment horizontal="center"/>
    </xf>
    <xf numFmtId="10" fontId="2" fillId="0" borderId="2" xfId="108" applyNumberFormat="1" applyFont="1" applyBorder="1" applyAlignment="1">
      <alignment horizontal="center"/>
    </xf>
    <xf numFmtId="0" fontId="2" fillId="0" borderId="5" xfId="108" applyFont="1" applyBorder="1"/>
    <xf numFmtId="1" fontId="2" fillId="0" borderId="6" xfId="108" applyNumberFormat="1" applyFont="1" applyBorder="1" applyAlignment="1">
      <alignment horizontal="center"/>
    </xf>
    <xf numFmtId="1" fontId="2" fillId="0" borderId="2" xfId="108" applyNumberFormat="1" applyFont="1" applyBorder="1" applyAlignment="1">
      <alignment horizontal="center"/>
    </xf>
    <xf numFmtId="0" fontId="2" fillId="0" borderId="6" xfId="108" applyFont="1" applyBorder="1" applyAlignment="1">
      <alignment horizontal="center"/>
    </xf>
    <xf numFmtId="0" fontId="2" fillId="0" borderId="2" xfId="108" applyFont="1" applyBorder="1" applyAlignment="1">
      <alignment horizontal="center"/>
    </xf>
    <xf numFmtId="9" fontId="2" fillId="0" borderId="4" xfId="108" applyNumberFormat="1" applyFont="1" applyBorder="1" applyAlignment="1">
      <alignment horizontal="center"/>
    </xf>
    <xf numFmtId="9" fontId="2" fillId="0" borderId="1" xfId="108" applyNumberFormat="1" applyFont="1" applyBorder="1" applyAlignment="1">
      <alignment horizontal="center"/>
    </xf>
    <xf numFmtId="0" fontId="2" fillId="0" borderId="3" xfId="108" applyFont="1" applyBorder="1"/>
    <xf numFmtId="0" fontId="3" fillId="0" borderId="26" xfId="108" applyFont="1" applyBorder="1" applyAlignment="1">
      <alignment horizontal="center"/>
    </xf>
    <xf numFmtId="0" fontId="3" fillId="0" borderId="26" xfId="108" applyFont="1" applyBorder="1"/>
    <xf numFmtId="0" fontId="3" fillId="0" borderId="0" xfId="107" applyFont="1"/>
    <xf numFmtId="0" fontId="4" fillId="0" borderId="0" xfId="107" applyFont="1"/>
    <xf numFmtId="172" fontId="2" fillId="0" borderId="0" xfId="59" applyNumberFormat="1" applyFont="1"/>
    <xf numFmtId="0" fontId="28" fillId="0" borderId="0" xfId="108" applyFont="1"/>
    <xf numFmtId="169" fontId="25" fillId="0" borderId="2" xfId="108" applyNumberFormat="1" applyFont="1" applyBorder="1"/>
    <xf numFmtId="0" fontId="26" fillId="0" borderId="0" xfId="108" applyFont="1"/>
    <xf numFmtId="0" fontId="29" fillId="0" borderId="0" xfId="109"/>
    <xf numFmtId="0" fontId="25" fillId="0" borderId="2" xfId="109" applyFont="1" applyBorder="1"/>
    <xf numFmtId="0" fontId="2" fillId="27" borderId="0" xfId="108" applyFont="1" applyFill="1"/>
    <xf numFmtId="173" fontId="2" fillId="24" borderId="2" xfId="108" applyNumberFormat="1" applyFont="1" applyFill="1" applyBorder="1"/>
    <xf numFmtId="0" fontId="2" fillId="0" borderId="2" xfId="108" applyFont="1" applyBorder="1"/>
    <xf numFmtId="0" fontId="3" fillId="0" borderId="2" xfId="108" applyFont="1" applyBorder="1" applyAlignment="1">
      <alignment horizontal="center"/>
    </xf>
    <xf numFmtId="0" fontId="2" fillId="0" borderId="0" xfId="108" applyFont="1" applyAlignment="1">
      <alignment wrapText="1"/>
    </xf>
    <xf numFmtId="43" fontId="2" fillId="0" borderId="0" xfId="110" applyFont="1"/>
    <xf numFmtId="172" fontId="2" fillId="0" borderId="0" xfId="110" applyNumberFormat="1" applyFont="1"/>
    <xf numFmtId="0" fontId="3" fillId="0" borderId="0" xfId="108" applyFont="1"/>
    <xf numFmtId="0" fontId="4" fillId="0" borderId="0" xfId="108" applyFont="1"/>
    <xf numFmtId="0" fontId="2" fillId="0" borderId="0" xfId="1" applyFont="1"/>
    <xf numFmtId="3" fontId="2" fillId="24" borderId="26" xfId="1" applyNumberFormat="1" applyFont="1" applyFill="1" applyBorder="1"/>
    <xf numFmtId="0" fontId="5" fillId="0" borderId="0" xfId="1" applyFont="1"/>
    <xf numFmtId="3" fontId="2" fillId="0" borderId="0" xfId="1" applyNumberFormat="1" applyFont="1"/>
    <xf numFmtId="0" fontId="2" fillId="0" borderId="0" xfId="1" applyFont="1" applyAlignment="1">
      <alignment wrapText="1"/>
    </xf>
    <xf numFmtId="174" fontId="2" fillId="0" borderId="0" xfId="111" applyNumberFormat="1" applyFont="1"/>
    <xf numFmtId="3" fontId="26" fillId="0" borderId="0" xfId="1" applyNumberFormat="1" applyFont="1"/>
    <xf numFmtId="3" fontId="25" fillId="0" borderId="0" xfId="1" applyNumberFormat="1" applyFont="1"/>
    <xf numFmtId="0" fontId="25" fillId="0" borderId="0" xfId="1" applyFont="1"/>
    <xf numFmtId="0" fontId="2" fillId="0" borderId="7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6" fillId="0" borderId="0" xfId="1" applyFont="1" applyAlignment="1">
      <alignment horizontal="center" wrapText="1"/>
    </xf>
    <xf numFmtId="0" fontId="3" fillId="0" borderId="27" xfId="1" applyFont="1" applyBorder="1" applyAlignment="1">
      <alignment horizontal="center" wrapText="1"/>
    </xf>
    <xf numFmtId="0" fontId="3" fillId="0" borderId="28" xfId="1" applyFont="1" applyBorder="1" applyAlignment="1">
      <alignment horizontal="center" wrapText="1"/>
    </xf>
    <xf numFmtId="0" fontId="3" fillId="0" borderId="29" xfId="1" applyFont="1" applyBorder="1" applyAlignment="1">
      <alignment horizontal="center" wrapText="1"/>
    </xf>
    <xf numFmtId="0" fontId="3" fillId="0" borderId="0" xfId="1" applyFont="1"/>
    <xf numFmtId="0" fontId="4" fillId="0" borderId="0" xfId="1" applyFont="1"/>
    <xf numFmtId="0" fontId="2" fillId="24" borderId="26" xfId="1" applyFont="1" applyFill="1" applyBorder="1"/>
    <xf numFmtId="9" fontId="30" fillId="0" borderId="9" xfId="1" applyNumberFormat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9" fontId="30" fillId="0" borderId="6" xfId="1" applyNumberFormat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2" fillId="0" borderId="0" xfId="108" applyFont="1" applyAlignment="1">
      <alignment wrapText="1"/>
    </xf>
    <xf numFmtId="0" fontId="30" fillId="0" borderId="29" xfId="1" applyFont="1" applyBorder="1" applyAlignment="1">
      <alignment vertical="center" wrapText="1"/>
    </xf>
    <xf numFmtId="0" fontId="30" fillId="0" borderId="28" xfId="1" applyFont="1" applyBorder="1" applyAlignment="1">
      <alignment vertical="center" wrapText="1"/>
    </xf>
    <xf numFmtId="0" fontId="30" fillId="0" borderId="5" xfId="1" applyFont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</cellXfs>
  <cellStyles count="112">
    <cellStyle name="=C:\WINDOWS\SYSTEM32\COMMAND.COM" xfId="3" xr:uid="{68867783-08C8-42B3-A8ED-F5BE590619CD}"/>
    <cellStyle name="=C:\WINDOWS\SYSTEM32\COMMAND.COM 2" xfId="105" xr:uid="{3979B621-04DB-4769-A413-D8A42A8C24C8}"/>
    <cellStyle name="20% - Accent1 2" xfId="5" xr:uid="{3F4FE272-ABF2-4F85-AEBD-69C57DB6CFCC}"/>
    <cellStyle name="20% - Accent1 3" xfId="4" xr:uid="{6F1CFA67-B53E-4CD5-89CD-F931C1263251}"/>
    <cellStyle name="20% - Accent2 2" xfId="7" xr:uid="{55F3B02D-4D04-41FA-98D5-AF3FA8ECFEE8}"/>
    <cellStyle name="20% - Accent2 3" xfId="6" xr:uid="{021FBA39-08CF-4AF3-AE8D-1897077094C2}"/>
    <cellStyle name="20% - Accent3 2" xfId="9" xr:uid="{8AEEE6F2-D435-4D78-A86D-E2D1D1D03E90}"/>
    <cellStyle name="20% - Accent3 3" xfId="8" xr:uid="{EEE382BE-CF34-4815-B7F2-723B260DB17F}"/>
    <cellStyle name="20% - Accent4 2" xfId="11" xr:uid="{DE92ECCB-05A5-43EE-B6C2-08771BE910D4}"/>
    <cellStyle name="20% - Accent4 3" xfId="10" xr:uid="{AA46A0AF-3EA6-49EC-92BA-22EF6EA1E30F}"/>
    <cellStyle name="20% - Accent5 2" xfId="13" xr:uid="{104F578E-FF32-4F70-8A15-4387BCCFEC18}"/>
    <cellStyle name="20% - Accent5 3" xfId="12" xr:uid="{986D47C7-CE0D-44E1-BDDF-71062084C9E3}"/>
    <cellStyle name="20% - Accent6 2" xfId="15" xr:uid="{D64865D3-22A5-42CE-86B8-87BEBCA07F7E}"/>
    <cellStyle name="20% - Accent6 3" xfId="14" xr:uid="{5D40D45C-6FA6-4927-9AEB-615DAECF9423}"/>
    <cellStyle name="40% - Accent1 2" xfId="17" xr:uid="{61A2E68D-1CE9-4CE2-88DA-AFEAEDD38595}"/>
    <cellStyle name="40% - Accent1 3" xfId="16" xr:uid="{04BA48E2-98A3-4476-85CB-396DE1FC42C5}"/>
    <cellStyle name="40% - Accent2 2" xfId="19" xr:uid="{373A7EF4-2283-4EEB-BED2-62629C46E5BD}"/>
    <cellStyle name="40% - Accent2 3" xfId="18" xr:uid="{7024BF68-04F9-407F-B1D0-590712F610A9}"/>
    <cellStyle name="40% - Accent3 2" xfId="21" xr:uid="{579FF586-413E-4A26-B607-8BAFC1DF83D8}"/>
    <cellStyle name="40% - Accent3 3" xfId="20" xr:uid="{45BE7B63-D9F0-42BE-B5D0-A04BAFB43380}"/>
    <cellStyle name="40% - Accent4 2" xfId="23" xr:uid="{757CA67C-3F5C-4011-B862-791A0F7A93D4}"/>
    <cellStyle name="40% - Accent4 3" xfId="22" xr:uid="{3F08CFE1-9D6C-4C19-84AD-282B3750852A}"/>
    <cellStyle name="40% - Accent5 2" xfId="25" xr:uid="{BF0BB3E5-D2A4-4D68-9260-D9528359AAAE}"/>
    <cellStyle name="40% - Accent5 3" xfId="24" xr:uid="{47F90698-8FD3-4551-AB87-58F1B7B6C135}"/>
    <cellStyle name="40% - Accent6 2" xfId="27" xr:uid="{20281E51-4D85-4CDA-97CC-63CF7758FB6A}"/>
    <cellStyle name="40% - Accent6 3" xfId="26" xr:uid="{5D20CBCF-A9EF-4CAD-8E58-F4A008EA329E}"/>
    <cellStyle name="60% - Accent1 2" xfId="29" xr:uid="{2025D82F-9B71-43C6-AE0B-7DA529CFD4B1}"/>
    <cellStyle name="60% - Accent1 3" xfId="28" xr:uid="{06182CEC-B9ED-4CC6-A5E9-982529A00CAA}"/>
    <cellStyle name="60% - Accent2 2" xfId="31" xr:uid="{EA2F3CA9-020C-4830-B03C-4A5961C6A667}"/>
    <cellStyle name="60% - Accent2 3" xfId="30" xr:uid="{8CD4FFF6-1BAC-4AA8-A5CB-212139091572}"/>
    <cellStyle name="60% - Accent3 2" xfId="33" xr:uid="{4C3B4789-7EC7-4811-925E-51A98F162081}"/>
    <cellStyle name="60% - Accent3 3" xfId="32" xr:uid="{1D72B2C3-C64D-44F2-8236-4F8B13E7DE54}"/>
    <cellStyle name="60% - Accent4 2" xfId="35" xr:uid="{66EFE647-0940-47D5-98D9-16EC3F198D08}"/>
    <cellStyle name="60% - Accent4 3" xfId="34" xr:uid="{ECE47214-E845-48F6-BAD8-F4C32E63F838}"/>
    <cellStyle name="60% - Accent5 2" xfId="37" xr:uid="{D9863CB9-F67E-41D9-9F16-6A1BBF07F091}"/>
    <cellStyle name="60% - Accent5 3" xfId="36" xr:uid="{954B2B10-E198-4767-B233-0D21F59975D1}"/>
    <cellStyle name="60% - Accent6 2" xfId="39" xr:uid="{73AC3381-2A27-4B47-A1CA-B6D8AB250A85}"/>
    <cellStyle name="60% - Accent6 3" xfId="38" xr:uid="{36B69074-E133-4742-9737-8F1E720F6150}"/>
    <cellStyle name="Accent1 2" xfId="41" xr:uid="{5E162F22-100E-4566-903E-1338597486A0}"/>
    <cellStyle name="Accent1 3" xfId="40" xr:uid="{9116FA54-634F-48D9-92F6-FF9C1B8C885A}"/>
    <cellStyle name="Accent2 2" xfId="43" xr:uid="{8950C175-050E-4819-8A7F-A08C7F6FA651}"/>
    <cellStyle name="Accent2 3" xfId="42" xr:uid="{6396995F-37B6-4653-BC90-42DE9CF91441}"/>
    <cellStyle name="Accent3 2" xfId="45" xr:uid="{CB5C4A4C-A181-43FA-ADD1-B36D7CF18871}"/>
    <cellStyle name="Accent3 3" xfId="44" xr:uid="{1B1F6A18-DA40-49C2-AAE7-6DFCE3690E2B}"/>
    <cellStyle name="Accent4 2" xfId="47" xr:uid="{B30E8B4F-67F3-4636-9747-404715B41F2D}"/>
    <cellStyle name="Accent4 3" xfId="46" xr:uid="{67ACB7E2-7A1A-4FC6-A9C2-6E4358CEED35}"/>
    <cellStyle name="Accent5 2" xfId="49" xr:uid="{7EDBD910-D76A-4E16-AA1F-38CF85A48893}"/>
    <cellStyle name="Accent5 3" xfId="48" xr:uid="{5850443C-D5AC-4AED-8B1E-87BF8DB80766}"/>
    <cellStyle name="Accent6 2" xfId="51" xr:uid="{53E37233-A32E-4FF3-B005-FEB95FB0FF88}"/>
    <cellStyle name="Accent6 3" xfId="50" xr:uid="{760F74A3-585C-4812-A2AE-9EF1FAF52F15}"/>
    <cellStyle name="Bad 2" xfId="53" xr:uid="{A78E4279-7BA7-4700-B118-8F42EA140B5F}"/>
    <cellStyle name="Bad 3" xfId="52" xr:uid="{DB54A638-1DB6-4247-B1D7-45985A26A9B3}"/>
    <cellStyle name="Calculation 2" xfId="55" xr:uid="{26D72911-3904-43C6-9825-0F06DC819B73}"/>
    <cellStyle name="Calculation 3" xfId="54" xr:uid="{77C8878E-12F4-4EBD-B9D2-CEBD361894B7}"/>
    <cellStyle name="Check Cell 2" xfId="57" xr:uid="{10E27292-2D83-4DDB-BD5C-C75A750A9B2E}"/>
    <cellStyle name="Check Cell 3" xfId="56" xr:uid="{916A223A-FCE6-4595-8750-B5DFEED1C14E}"/>
    <cellStyle name="Comma 2" xfId="58" xr:uid="{9726E9E2-0F1D-486B-AE17-3744353AE1A9}"/>
    <cellStyle name="Comma 3" xfId="59" xr:uid="{F099EDD0-2EEF-4DC7-AFE2-1B09378F112C}"/>
    <cellStyle name="Comma 4" xfId="60" xr:uid="{94AE0229-8C4B-4FEC-8B4A-706D027F9826}"/>
    <cellStyle name="Comma 5" xfId="61" xr:uid="{7AD0EE06-E589-4010-B4C4-A6C0186C2EDE}"/>
    <cellStyle name="Comma 6" xfId="62" xr:uid="{28519E0F-98CB-4EB0-B286-7C1A5FC2F443}"/>
    <cellStyle name="Comma 7" xfId="63" xr:uid="{9B66A686-55AE-407E-B2C2-0549E74F070E}"/>
    <cellStyle name="Comma 8" xfId="110" xr:uid="{DD03FD93-AE9F-4DE8-A9FA-805B176F525F}"/>
    <cellStyle name="Currency 2" xfId="64" xr:uid="{BAAF6C71-9693-43E4-970F-D3A54060D763}"/>
    <cellStyle name="Currency 3" xfId="65" xr:uid="{F7666678-E277-46CF-9D7C-67D08FB5B569}"/>
    <cellStyle name="Currency 4" xfId="66" xr:uid="{F1EC6DFD-2E31-449B-8A2F-5068E0D86346}"/>
    <cellStyle name="Explanatory Text 2" xfId="68" xr:uid="{63C23EBF-F6CC-4AAB-8D04-0C8A534754F0}"/>
    <cellStyle name="Explanatory Text 3" xfId="67" xr:uid="{7E37756E-67DE-47BF-BCC3-1C1E63DE5F02}"/>
    <cellStyle name="Good 2" xfId="70" xr:uid="{7173CB93-C53D-45A5-986C-4B947E42558D}"/>
    <cellStyle name="Good 3" xfId="69" xr:uid="{C2695AFB-B607-46BD-BB0A-0FD388833C43}"/>
    <cellStyle name="Heading 1 2" xfId="72" xr:uid="{09C2139A-0126-4174-8A1B-3767BE3287F5}"/>
    <cellStyle name="Heading 1 3" xfId="71" xr:uid="{AEF9D884-BBAF-43D8-A14C-F7E619270BA1}"/>
    <cellStyle name="Heading 2 2" xfId="74" xr:uid="{C697C3D0-F402-49D9-A26F-99A57EC99C15}"/>
    <cellStyle name="Heading 2 3" xfId="73" xr:uid="{55F80CC9-068E-47A8-A481-F2816D66A95A}"/>
    <cellStyle name="Heading 3 2" xfId="76" xr:uid="{DE8650F4-B840-47D6-BEC8-C7022F83626F}"/>
    <cellStyle name="Heading 3 3" xfId="75" xr:uid="{66A695CD-57E9-47D2-80A5-C57B36E5BD1D}"/>
    <cellStyle name="Heading 4 2" xfId="78" xr:uid="{653E8B46-7D94-4257-A4E7-A4FF73400B86}"/>
    <cellStyle name="Heading 4 3" xfId="77" xr:uid="{1FC43200-3719-454A-B810-9B45B37759C5}"/>
    <cellStyle name="Input 2" xfId="80" xr:uid="{4DD5C957-658F-4BE2-AEC1-168E8F3578E9}"/>
    <cellStyle name="Input 3" xfId="79" xr:uid="{EAA6D26B-FF7B-4140-9610-38C27223D8E1}"/>
    <cellStyle name="Linked Cell 2" xfId="82" xr:uid="{FC003D3F-71F6-4ADA-BAFD-2D47521BAB45}"/>
    <cellStyle name="Linked Cell 3" xfId="81" xr:uid="{194F9038-532E-4EB7-93AC-CBAD94B4B958}"/>
    <cellStyle name="Neutral 2" xfId="84" xr:uid="{C73B70C6-66B4-4B97-A4B0-3F9EBC37F8E1}"/>
    <cellStyle name="Neutral 3" xfId="83" xr:uid="{149A9BA3-1BC7-42EE-960D-DEF966E4AA10}"/>
    <cellStyle name="Normal" xfId="0" builtinId="0"/>
    <cellStyle name="Normal 2" xfId="85" xr:uid="{C669E2B4-8A49-45B3-9152-DB4B87019AE3}"/>
    <cellStyle name="Normal 2 2" xfId="86" xr:uid="{5966ED76-2281-45DE-8959-CB8B03E2592C}"/>
    <cellStyle name="Normal 2_AFE201112_LO3_JZH_1_GO_v2" xfId="87" xr:uid="{866361B0-A91B-4CA9-B716-81DD3D60BEE2}"/>
    <cellStyle name="Normal 3" xfId="88" xr:uid="{9780B137-47E5-4C67-96F8-3FEF1B81E88F}"/>
    <cellStyle name="Normal 4" xfId="89" xr:uid="{5A73C9B2-C2E7-441D-AE81-AA6917C7C458}"/>
    <cellStyle name="Normal 5" xfId="1" xr:uid="{00000000-0005-0000-0000-000002000000}"/>
    <cellStyle name="Normal 5 2" xfId="108" xr:uid="{E816F2DE-DB2C-4A70-9506-20C622033B45}"/>
    <cellStyle name="Normal 6" xfId="2" xr:uid="{00020CBD-89EE-4C34-B1BA-4F5B6CD602E0}"/>
    <cellStyle name="Normal 6 2" xfId="107" xr:uid="{ECAB16E2-42D4-4835-A6AF-1DF9807586EE}"/>
    <cellStyle name="Normal 7" xfId="109" xr:uid="{CB210A73-96BC-42B7-9EFA-2E51AE21B6E2}"/>
    <cellStyle name="Note 2" xfId="91" xr:uid="{912A67A0-33DF-4048-8833-3A4783EECF93}"/>
    <cellStyle name="Note 3" xfId="90" xr:uid="{B6AEC8BC-478B-46E2-AEEF-D609CEEEDD30}"/>
    <cellStyle name="Output 2" xfId="93" xr:uid="{E6960BD1-B253-404D-A27F-73E091EF85FF}"/>
    <cellStyle name="Output 3" xfId="92" xr:uid="{91E0E66B-7617-4B5C-B9C0-EF36128E2F81}"/>
    <cellStyle name="Percent 2" xfId="94" xr:uid="{67F590C8-03BE-4A30-AFB6-70739D02771C}"/>
    <cellStyle name="Percent 3" xfId="95" xr:uid="{96B18957-9421-4874-843E-BA4330171FA8}"/>
    <cellStyle name="Percent 4" xfId="96" xr:uid="{C56711F7-120C-4598-B363-E86AC11088EE}"/>
    <cellStyle name="Percent 5" xfId="97" xr:uid="{F01A8548-B072-439F-8F56-3E03D8356001}"/>
    <cellStyle name="Percent 6" xfId="98" xr:uid="{8AB1D59D-DD26-4B5D-8A8A-F83435E112CE}"/>
    <cellStyle name="Percent 7" xfId="106" xr:uid="{2F087135-D370-439A-ABCB-525B16DAA96A}"/>
    <cellStyle name="Percent 8" xfId="111" xr:uid="{D095E963-AE9E-4AAB-BC98-62525EC1E30D}"/>
    <cellStyle name="Title 2" xfId="100" xr:uid="{326B03F9-B437-4871-AFBC-3F114E8333E3}"/>
    <cellStyle name="Title 3" xfId="99" xr:uid="{A4C55581-858B-4A37-B390-C1091F34CFD2}"/>
    <cellStyle name="Total 2" xfId="102" xr:uid="{A91BE348-0DE8-4012-8254-F16B4360C613}"/>
    <cellStyle name="Total 3" xfId="101" xr:uid="{8068526E-9DB3-442A-B49A-4F25A012DF9D}"/>
    <cellStyle name="Warning Text 2" xfId="104" xr:uid="{B07D7756-75E0-46F9-A395-6330DA421162}"/>
    <cellStyle name="Warning Text 3" xfId="103" xr:uid="{792673FB-F36E-475C-B27D-F620A61B0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50C607-B52B-4FF4-8370-79B3BE873586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467182-D8AA-4F66-B5C1-F150CB2A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D521A3-BDE5-4D50-85B8-94052D3E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86D4D0-7310-4512-A8B2-45ECF387B609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3550518-3893-4392-870D-D75B20216F12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3550518-3893-4392-870D-D75B20216F12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4124EFA-AB46-4795-B0FF-9B76E2B4A9A9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4124EFA-AB46-4795-B0FF-9B76E2B4A9A9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592021-29D9-44AB-9798-077C2F240615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E72FC945-58C6-42EC-884B-F64EE6764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A3D0B9-D725-4E1B-9B51-7C95F020359B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44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726F25-D752-4FC1-B4EB-8CF96332FF32}"/>
            </a:ext>
          </a:extLst>
        </xdr:cNvPr>
        <xdr:cNvSpPr txBox="1"/>
      </xdr:nvSpPr>
      <xdr:spPr>
        <a:xfrm>
          <a:off x="508000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82550</xdr:colOff>
      <xdr:row>23</xdr:row>
      <xdr:rowOff>127000</xdr:rowOff>
    </xdr:from>
    <xdr:to>
      <xdr:col>2</xdr:col>
      <xdr:colOff>2044172</xdr:colOff>
      <xdr:row>25</xdr:row>
      <xdr:rowOff>138642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E68B48-6117-4E5D-AE0E-AA7B3E41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3014782"/>
          <a:ext cx="4157663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102658</xdr:colOff>
      <xdr:row>42</xdr:row>
      <xdr:rowOff>52916</xdr:rowOff>
    </xdr:from>
    <xdr:to>
      <xdr:col>3</xdr:col>
      <xdr:colOff>699294</xdr:colOff>
      <xdr:row>44</xdr:row>
      <xdr:rowOff>109801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A52402-4116-42FB-99EE-89E4BBB0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7276041"/>
          <a:ext cx="4988719" cy="41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142876</xdr:colOff>
      <xdr:row>58</xdr:row>
      <xdr:rowOff>113242</xdr:rowOff>
    </xdr:from>
    <xdr:to>
      <xdr:col>3</xdr:col>
      <xdr:colOff>822855</xdr:colOff>
      <xdr:row>60</xdr:row>
      <xdr:rowOff>143934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7987574-214D-47AE-97F9-B783B129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8" y="10215034"/>
          <a:ext cx="5072062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F671-3D6F-4355-92A4-3454D9EFED93}">
  <dimension ref="A1:O53"/>
  <sheetViews>
    <sheetView tabSelected="1" zoomScaleNormal="100" workbookViewId="0"/>
  </sheetViews>
  <sheetFormatPr defaultColWidth="9.140625" defaultRowHeight="15" x14ac:dyDescent="0.25"/>
  <cols>
    <col min="1" max="1" width="32.7109375" style="27" customWidth="1"/>
    <col min="2" max="2" width="23.28515625" style="27" customWidth="1"/>
    <col min="3" max="3" width="17.7109375" style="27" customWidth="1"/>
    <col min="4" max="4" width="18" style="27" customWidth="1"/>
    <col min="5" max="6" width="18.5703125" style="27" customWidth="1"/>
    <col min="7" max="7" width="15.85546875" style="27" customWidth="1"/>
    <col min="8" max="8" width="15.7109375" style="27" customWidth="1"/>
    <col min="9" max="16384" width="9.140625" style="27"/>
  </cols>
  <sheetData>
    <row r="1" spans="1:3" ht="15.6" x14ac:dyDescent="0.3">
      <c r="A1" s="85" t="s">
        <v>0</v>
      </c>
    </row>
    <row r="3" spans="1:3" ht="13.9" x14ac:dyDescent="0.25">
      <c r="A3" s="84" t="s">
        <v>82</v>
      </c>
    </row>
    <row r="4" spans="1:3" ht="13.9" x14ac:dyDescent="0.25">
      <c r="A4" s="84"/>
    </row>
    <row r="5" spans="1:3" ht="13.9" x14ac:dyDescent="0.25">
      <c r="A5" s="84" t="s">
        <v>61</v>
      </c>
      <c r="B5" s="27" t="s">
        <v>81</v>
      </c>
    </row>
    <row r="6" spans="1:3" ht="13.9" x14ac:dyDescent="0.25">
      <c r="A6" s="84" t="s">
        <v>59</v>
      </c>
      <c r="B6" s="27" t="s">
        <v>80</v>
      </c>
    </row>
    <row r="7" spans="1:3" ht="14.45" thickBot="1" x14ac:dyDescent="0.3"/>
    <row r="8" spans="1:3" ht="14.45" thickBot="1" x14ac:dyDescent="0.3">
      <c r="A8" s="83"/>
      <c r="B8" s="82" t="s">
        <v>66</v>
      </c>
      <c r="C8" s="82" t="s">
        <v>65</v>
      </c>
    </row>
    <row r="9" spans="1:3" ht="13.9" x14ac:dyDescent="0.25">
      <c r="A9" s="81" t="s">
        <v>79</v>
      </c>
      <c r="B9" s="80">
        <v>0.5</v>
      </c>
      <c r="C9" s="79">
        <v>0.5</v>
      </c>
    </row>
    <row r="10" spans="1:3" ht="13.9" x14ac:dyDescent="0.25">
      <c r="A10" s="74" t="s">
        <v>78</v>
      </c>
      <c r="B10" s="78">
        <v>1</v>
      </c>
      <c r="C10" s="77">
        <v>3</v>
      </c>
    </row>
    <row r="11" spans="1:3" ht="13.9" x14ac:dyDescent="0.25">
      <c r="A11" s="74" t="s">
        <v>77</v>
      </c>
      <c r="B11" s="73">
        <v>0.02</v>
      </c>
      <c r="C11" s="72">
        <v>0.03</v>
      </c>
    </row>
    <row r="12" spans="1:3" ht="13.9" x14ac:dyDescent="0.25">
      <c r="A12" s="74" t="s">
        <v>76</v>
      </c>
      <c r="B12" s="76">
        <v>1005</v>
      </c>
      <c r="C12" s="75">
        <v>986</v>
      </c>
    </row>
    <row r="13" spans="1:3" ht="13.9" x14ac:dyDescent="0.25">
      <c r="A13" s="74" t="s">
        <v>75</v>
      </c>
      <c r="B13" s="73">
        <v>1.4999999999999999E-2</v>
      </c>
      <c r="C13" s="72">
        <v>3.5000000000000003E-2</v>
      </c>
    </row>
    <row r="14" spans="1:3" ht="14.45" thickBot="1" x14ac:dyDescent="0.3">
      <c r="A14" s="71" t="s">
        <v>74</v>
      </c>
      <c r="B14" s="70">
        <v>1000</v>
      </c>
      <c r="C14" s="69">
        <v>1000</v>
      </c>
    </row>
    <row r="15" spans="1:3" ht="14.45" thickBot="1" x14ac:dyDescent="0.3"/>
    <row r="16" spans="1:3" ht="16.149999999999999" thickBot="1" x14ac:dyDescent="0.3">
      <c r="A16" s="68" t="s">
        <v>73</v>
      </c>
      <c r="B16" s="67" t="s">
        <v>72</v>
      </c>
      <c r="C16" s="66" t="s">
        <v>71</v>
      </c>
    </row>
    <row r="17" spans="1:8" ht="81.75" customHeight="1" x14ac:dyDescent="0.3">
      <c r="A17" s="65"/>
      <c r="B17" s="64" t="s">
        <v>70</v>
      </c>
      <c r="C17" s="63" t="s">
        <v>69</v>
      </c>
    </row>
    <row r="18" spans="1:8" ht="81.75" customHeight="1" thickBot="1" x14ac:dyDescent="0.35">
      <c r="A18" s="62"/>
      <c r="B18" s="61" t="s">
        <v>68</v>
      </c>
      <c r="C18" s="60">
        <v>94.108000000000004</v>
      </c>
    </row>
    <row r="20" spans="1:8" ht="15.75" thickBot="1" x14ac:dyDescent="0.3">
      <c r="A20" s="52" t="s">
        <v>67</v>
      </c>
      <c r="B20" s="51"/>
    </row>
    <row r="21" spans="1:8" ht="15.75" thickBot="1" x14ac:dyDescent="0.3">
      <c r="A21" s="52"/>
      <c r="B21" s="59" t="s">
        <v>66</v>
      </c>
      <c r="C21" s="59" t="s">
        <v>65</v>
      </c>
      <c r="D21" s="59" t="s">
        <v>64</v>
      </c>
    </row>
    <row r="22" spans="1:8" x14ac:dyDescent="0.25">
      <c r="A22" s="51" t="s">
        <v>63</v>
      </c>
      <c r="B22" s="58">
        <f>E34*G34/($B$12*(1+$B$13))</f>
        <v>0.9851492374329186</v>
      </c>
      <c r="C22" s="57">
        <f>SUMPRODUCT(E40:E42,G40:G42)/($C$12*(1+C13))</f>
        <v>2.8142782626162903</v>
      </c>
      <c r="D22" s="56">
        <f>AVERAGE(B22:C22)</f>
        <v>1.8997137500246044</v>
      </c>
      <c r="E22" s="27" t="s">
        <v>61</v>
      </c>
    </row>
    <row r="23" spans="1:8" ht="15.75" thickBot="1" x14ac:dyDescent="0.3">
      <c r="A23" s="51" t="s">
        <v>62</v>
      </c>
      <c r="B23" s="55">
        <f>(F34/(1+$B$13)^(3))/$B$12</f>
        <v>1.9411807634146181</v>
      </c>
      <c r="C23" s="54">
        <f>SUMPRODUCT(F40:F42,H40:H42)/$C$12</f>
        <v>10.768523839449475</v>
      </c>
      <c r="D23" s="53">
        <f>AVERAGE(B23:C23)</f>
        <v>6.3548523014320466</v>
      </c>
      <c r="E23" s="27" t="s">
        <v>61</v>
      </c>
    </row>
    <row r="24" spans="1:8" ht="15.75" thickBot="1" x14ac:dyDescent="0.3">
      <c r="A24" s="52"/>
      <c r="B24" s="51"/>
    </row>
    <row r="25" spans="1:8" ht="15.75" thickBot="1" x14ac:dyDescent="0.3">
      <c r="A25" s="27" t="s">
        <v>60</v>
      </c>
      <c r="D25" s="50">
        <f>ABS(B53/C18)</f>
        <v>200.0002612955912</v>
      </c>
      <c r="E25" s="27" t="s">
        <v>59</v>
      </c>
    </row>
    <row r="27" spans="1:8" s="49" customFormat="1" x14ac:dyDescent="0.25"/>
    <row r="28" spans="1:8" x14ac:dyDescent="0.25">
      <c r="A28" s="48"/>
      <c r="B28" s="48"/>
      <c r="C28" s="48"/>
      <c r="D28" s="48"/>
      <c r="E28" s="48"/>
      <c r="F28" s="48"/>
      <c r="G28" s="48"/>
      <c r="H28" s="48"/>
    </row>
    <row r="29" spans="1:8" s="28" customFormat="1" x14ac:dyDescent="0.25">
      <c r="A29" s="29" t="s">
        <v>58</v>
      </c>
      <c r="B29" s="29"/>
      <c r="C29" s="29"/>
      <c r="D29" s="29"/>
      <c r="E29" s="29"/>
      <c r="F29" s="29"/>
      <c r="G29" s="29"/>
      <c r="H29" s="29"/>
    </row>
    <row r="30" spans="1:8" s="28" customFormat="1" x14ac:dyDescent="0.25">
      <c r="A30" s="29"/>
      <c r="B30" s="29"/>
      <c r="C30" s="29"/>
      <c r="D30" s="29"/>
      <c r="E30" s="29"/>
      <c r="F30" s="29"/>
      <c r="G30" s="29"/>
      <c r="H30" s="29"/>
    </row>
    <row r="31" spans="1:8" s="28" customFormat="1" x14ac:dyDescent="0.25">
      <c r="A31" s="46" t="s">
        <v>57</v>
      </c>
      <c r="B31" s="29"/>
      <c r="C31" s="29"/>
      <c r="D31" s="29"/>
      <c r="E31" s="29"/>
      <c r="F31" s="29"/>
      <c r="G31" s="29"/>
      <c r="H31" s="29"/>
    </row>
    <row r="32" spans="1:8" s="28" customFormat="1" x14ac:dyDescent="0.25">
      <c r="A32" s="29"/>
      <c r="B32" s="29"/>
      <c r="C32" s="29"/>
      <c r="D32" s="29"/>
      <c r="E32" s="29"/>
      <c r="F32" s="29"/>
      <c r="G32" s="29"/>
      <c r="H32" s="29"/>
    </row>
    <row r="33" spans="1:15" s="28" customFormat="1" ht="43.5" x14ac:dyDescent="0.25">
      <c r="A33" s="45" t="s">
        <v>54</v>
      </c>
      <c r="B33" s="45" t="s">
        <v>53</v>
      </c>
      <c r="C33" s="45" t="s">
        <v>52</v>
      </c>
      <c r="D33" s="45" t="s">
        <v>51</v>
      </c>
      <c r="E33" s="44" t="s">
        <v>50</v>
      </c>
      <c r="F33" s="44" t="s">
        <v>49</v>
      </c>
      <c r="G33" s="44" t="s">
        <v>56</v>
      </c>
      <c r="H33" s="29"/>
    </row>
    <row r="34" spans="1:15" s="28" customFormat="1" x14ac:dyDescent="0.25">
      <c r="A34" s="41">
        <v>1</v>
      </c>
      <c r="B34" s="41">
        <f>B11*B14</f>
        <v>20</v>
      </c>
      <c r="C34" s="41">
        <f>B14</f>
        <v>1000</v>
      </c>
      <c r="D34" s="41">
        <f>B34+C34</f>
        <v>1020</v>
      </c>
      <c r="E34" s="41">
        <f>D34*A34</f>
        <v>1020</v>
      </c>
      <c r="F34" s="41">
        <f>($A34^2 + $A34)*D34</f>
        <v>2040</v>
      </c>
      <c r="G34" s="40">
        <f>1/(1+$B$13)^($A34)</f>
        <v>0.98522167487684742</v>
      </c>
      <c r="H34" s="29"/>
      <c r="I34" s="39"/>
      <c r="K34" s="38"/>
    </row>
    <row r="35" spans="1:15" s="28" customFormat="1" x14ac:dyDescent="0.25">
      <c r="A35" s="47"/>
      <c r="B35" s="29"/>
      <c r="C35" s="29"/>
      <c r="D35" s="29"/>
      <c r="E35" s="29"/>
      <c r="F35" s="29"/>
      <c r="G35" s="29"/>
      <c r="H35" s="29"/>
    </row>
    <row r="36" spans="1:15" s="28" customFormat="1" x14ac:dyDescent="0.25">
      <c r="A36" s="47"/>
      <c r="B36" s="29"/>
      <c r="C36" s="29"/>
      <c r="D36" s="29"/>
      <c r="E36" s="29"/>
      <c r="F36" s="29"/>
      <c r="G36" s="29"/>
      <c r="H36" s="29"/>
    </row>
    <row r="37" spans="1:15" s="28" customFormat="1" x14ac:dyDescent="0.25">
      <c r="A37" s="46" t="s">
        <v>55</v>
      </c>
      <c r="B37" s="29"/>
      <c r="C37" s="29"/>
      <c r="D37" s="29"/>
      <c r="E37" s="29"/>
      <c r="F37" s="29"/>
      <c r="G37" s="29"/>
      <c r="H37" s="29"/>
    </row>
    <row r="38" spans="1:15" s="28" customFormat="1" x14ac:dyDescent="0.25">
      <c r="A38" s="29"/>
      <c r="B38" s="29"/>
      <c r="C38" s="29"/>
      <c r="D38" s="29"/>
      <c r="E38" s="29"/>
      <c r="F38" s="29"/>
      <c r="G38" s="29"/>
      <c r="H38" s="29"/>
    </row>
    <row r="39" spans="1:15" s="28" customFormat="1" ht="43.5" x14ac:dyDescent="0.25">
      <c r="A39" s="45" t="s">
        <v>54</v>
      </c>
      <c r="B39" s="45" t="s">
        <v>53</v>
      </c>
      <c r="C39" s="45" t="s">
        <v>52</v>
      </c>
      <c r="D39" s="45" t="s">
        <v>51</v>
      </c>
      <c r="E39" s="44" t="s">
        <v>50</v>
      </c>
      <c r="F39" s="44" t="s">
        <v>49</v>
      </c>
      <c r="G39" s="44" t="s">
        <v>48</v>
      </c>
      <c r="H39" s="44" t="s">
        <v>47</v>
      </c>
    </row>
    <row r="40" spans="1:15" s="28" customFormat="1" x14ac:dyDescent="0.25">
      <c r="A40" s="41">
        <v>1</v>
      </c>
      <c r="B40" s="41">
        <f>$C$11*$C$14</f>
        <v>30</v>
      </c>
      <c r="C40" s="41"/>
      <c r="D40" s="41">
        <f>B40+C40</f>
        <v>30</v>
      </c>
      <c r="E40" s="41">
        <f>D40*$A40</f>
        <v>30</v>
      </c>
      <c r="F40" s="41">
        <f>($A40^2 + $A40)*D40</f>
        <v>60</v>
      </c>
      <c r="G40" s="40">
        <f>1/(1+$C$13)^($A40)</f>
        <v>0.96618357487922713</v>
      </c>
      <c r="H40" s="40">
        <f>(1+$C$13)^(-$A40-2)</f>
        <v>0.90194270566802237</v>
      </c>
      <c r="J40" s="39"/>
      <c r="L40" s="38"/>
      <c r="N40" s="43"/>
      <c r="O40" s="42"/>
    </row>
    <row r="41" spans="1:15" s="28" customFormat="1" x14ac:dyDescent="0.25">
      <c r="A41" s="41">
        <v>2</v>
      </c>
      <c r="B41" s="41">
        <f>$C$11*$C$14</f>
        <v>30</v>
      </c>
      <c r="C41" s="41"/>
      <c r="D41" s="41">
        <f>B41+C41</f>
        <v>30</v>
      </c>
      <c r="E41" s="41">
        <f>D41*$A41</f>
        <v>60</v>
      </c>
      <c r="F41" s="41">
        <f>($A41^2 + $A41)*D41</f>
        <v>180</v>
      </c>
      <c r="G41" s="40">
        <f>1/(1+$C$13)^($A41)</f>
        <v>0.93351070036640305</v>
      </c>
      <c r="H41" s="40">
        <f>(1+$C$13)^(-$A41-2)</f>
        <v>0.87144222769857238</v>
      </c>
      <c r="J41" s="39"/>
      <c r="L41" s="38"/>
      <c r="O41" s="42"/>
    </row>
    <row r="42" spans="1:15" s="28" customFormat="1" x14ac:dyDescent="0.25">
      <c r="A42" s="41">
        <v>3</v>
      </c>
      <c r="B42" s="41">
        <f>$C$11*$C$14</f>
        <v>30</v>
      </c>
      <c r="C42" s="41">
        <f>C14</f>
        <v>1000</v>
      </c>
      <c r="D42" s="41">
        <f>B42+C42</f>
        <v>1030</v>
      </c>
      <c r="E42" s="41">
        <f>D42*$A42</f>
        <v>3090</v>
      </c>
      <c r="F42" s="41">
        <f>($A42^2 + $A42)*D42</f>
        <v>12360</v>
      </c>
      <c r="G42" s="40">
        <f>1/(1+$C$13)^($A42)</f>
        <v>0.90194270566802237</v>
      </c>
      <c r="H42" s="40">
        <f>(1+$C$13)^(-$A42-2)</f>
        <v>0.84197316685852419</v>
      </c>
      <c r="J42" s="39"/>
      <c r="L42" s="38"/>
    </row>
    <row r="43" spans="1:15" s="28" customFormat="1" x14ac:dyDescent="0.25">
      <c r="A43" s="29"/>
      <c r="B43" s="29"/>
      <c r="C43" s="29"/>
      <c r="D43" s="29"/>
      <c r="E43" s="29"/>
      <c r="F43" s="29"/>
      <c r="G43" s="29"/>
      <c r="H43" s="29"/>
    </row>
    <row r="44" spans="1:15" s="28" customFormat="1" x14ac:dyDescent="0.25">
      <c r="A44" s="29"/>
      <c r="B44" s="29"/>
      <c r="C44" s="29"/>
      <c r="D44" s="29"/>
      <c r="E44" s="29"/>
      <c r="F44" s="29"/>
      <c r="G44" s="29"/>
      <c r="H44" s="29"/>
    </row>
    <row r="45" spans="1:15" s="28" customFormat="1" x14ac:dyDescent="0.25">
      <c r="A45" s="29" t="s">
        <v>46</v>
      </c>
      <c r="B45" s="29"/>
      <c r="C45" s="29"/>
      <c r="D45" s="29"/>
      <c r="E45" s="29"/>
      <c r="F45" s="29"/>
      <c r="G45" s="29"/>
      <c r="H45" s="29"/>
    </row>
    <row r="46" spans="1:15" s="28" customFormat="1" x14ac:dyDescent="0.25">
      <c r="A46" s="33" t="s">
        <v>45</v>
      </c>
      <c r="B46" s="37">
        <v>100000000</v>
      </c>
      <c r="C46" s="29"/>
      <c r="D46" s="29"/>
      <c r="E46" s="29"/>
      <c r="F46" s="29"/>
      <c r="G46" s="29"/>
      <c r="H46" s="29"/>
    </row>
    <row r="47" spans="1:15" s="28" customFormat="1" x14ac:dyDescent="0.25">
      <c r="A47" s="29"/>
      <c r="B47" s="29"/>
      <c r="C47" s="29"/>
      <c r="D47" s="29"/>
      <c r="E47" s="29"/>
      <c r="F47" s="29"/>
      <c r="G47" s="29"/>
      <c r="H47" s="29"/>
    </row>
    <row r="48" spans="1:15" s="28" customFormat="1" ht="23.25" customHeight="1" x14ac:dyDescent="0.25">
      <c r="A48" s="33" t="s">
        <v>44</v>
      </c>
      <c r="B48" s="36">
        <f>1/10000</f>
        <v>1E-4</v>
      </c>
      <c r="C48" s="29"/>
      <c r="D48" s="29"/>
      <c r="E48" s="29"/>
      <c r="F48" s="29"/>
      <c r="G48" s="29"/>
      <c r="H48" s="29"/>
    </row>
    <row r="49" spans="1:8" s="28" customFormat="1" ht="23.25" customHeight="1" x14ac:dyDescent="0.25">
      <c r="A49" s="33" t="s">
        <v>43</v>
      </c>
      <c r="B49" s="35">
        <f>-B12*(B22*B48-0.5*B23*B48^2)</f>
        <v>-9.8997743928672166E-2</v>
      </c>
      <c r="C49" s="29"/>
      <c r="D49" s="29"/>
      <c r="E49" s="29"/>
      <c r="F49" s="29"/>
      <c r="G49" s="29"/>
      <c r="H49" s="29"/>
    </row>
    <row r="50" spans="1:8" s="28" customFormat="1" ht="24" customHeight="1" x14ac:dyDescent="0.25">
      <c r="A50" s="33" t="s">
        <v>42</v>
      </c>
      <c r="B50" s="35">
        <f>-C12*(C22*B48-0.5*C23*B48^2)</f>
        <v>-0.27743474787143774</v>
      </c>
      <c r="C50" s="29"/>
      <c r="D50" s="29"/>
      <c r="E50" s="29"/>
      <c r="F50" s="29"/>
      <c r="G50" s="29"/>
      <c r="H50" s="29"/>
    </row>
    <row r="51" spans="1:8" s="28" customFormat="1" x14ac:dyDescent="0.25">
      <c r="A51" s="29"/>
      <c r="B51" s="29"/>
      <c r="C51" s="29"/>
      <c r="D51" s="29"/>
      <c r="E51" s="29"/>
      <c r="F51" s="29"/>
      <c r="G51" s="29"/>
      <c r="H51" s="29"/>
    </row>
    <row r="52" spans="1:8" s="28" customFormat="1" x14ac:dyDescent="0.25">
      <c r="A52" s="33" t="s">
        <v>41</v>
      </c>
      <c r="B52" s="34">
        <f>0.5*(B49+B50)</f>
        <v>-0.18821624590005495</v>
      </c>
      <c r="C52" s="29"/>
      <c r="D52" s="29"/>
      <c r="E52" s="29"/>
      <c r="F52" s="29"/>
      <c r="G52" s="29"/>
      <c r="H52" s="29"/>
    </row>
    <row r="53" spans="1:8" s="28" customFormat="1" x14ac:dyDescent="0.25">
      <c r="A53" s="33" t="s">
        <v>40</v>
      </c>
      <c r="B53" s="32">
        <f>B46/1000*B52</f>
        <v>-18821.624590005496</v>
      </c>
      <c r="C53" s="31"/>
      <c r="D53" s="30"/>
      <c r="E53" s="29"/>
      <c r="F53" s="29"/>
      <c r="G53" s="29"/>
      <c r="H53" s="2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0A44-4FF5-47E3-BF47-50AC8BED683D}">
  <dimension ref="A1:G46"/>
  <sheetViews>
    <sheetView zoomScaleNormal="100" workbookViewId="0"/>
  </sheetViews>
  <sheetFormatPr defaultColWidth="9.140625" defaultRowHeight="15" x14ac:dyDescent="0.25"/>
  <cols>
    <col min="1" max="1" width="32" style="51" customWidth="1"/>
    <col min="2" max="2" width="21" style="51" customWidth="1"/>
    <col min="3" max="3" width="21.140625" style="51" customWidth="1"/>
    <col min="4" max="5" width="9.140625" style="51"/>
    <col min="6" max="6" width="10.42578125" style="51" bestFit="1" customWidth="1"/>
    <col min="7" max="16384" width="9.140625" style="51"/>
  </cols>
  <sheetData>
    <row r="1" spans="1:3" ht="15.6" x14ac:dyDescent="0.3">
      <c r="A1" s="100" t="s">
        <v>0</v>
      </c>
    </row>
    <row r="3" spans="1:3" ht="13.9" x14ac:dyDescent="0.25">
      <c r="A3" s="99" t="s">
        <v>82</v>
      </c>
    </row>
    <row r="4" spans="1:3" ht="13.9" x14ac:dyDescent="0.25">
      <c r="A4" s="99"/>
    </row>
    <row r="5" spans="1:3" ht="13.9" x14ac:dyDescent="0.25">
      <c r="A5" s="99" t="s">
        <v>108</v>
      </c>
      <c r="B5" s="51" t="s">
        <v>107</v>
      </c>
    </row>
    <row r="7" spans="1:3" ht="13.9" x14ac:dyDescent="0.25">
      <c r="A7" s="52" t="s">
        <v>106</v>
      </c>
    </row>
    <row r="8" spans="1:3" ht="13.9" x14ac:dyDescent="0.25">
      <c r="A8" s="51" t="s">
        <v>105</v>
      </c>
      <c r="B8" s="98">
        <v>100000000</v>
      </c>
      <c r="C8" s="51" t="s">
        <v>104</v>
      </c>
    </row>
    <row r="9" spans="1:3" ht="13.9" x14ac:dyDescent="0.25">
      <c r="A9" s="96" t="s">
        <v>103</v>
      </c>
      <c r="B9" s="97">
        <v>1.5</v>
      </c>
      <c r="C9" s="51" t="s">
        <v>100</v>
      </c>
    </row>
    <row r="10" spans="1:3" ht="13.9" x14ac:dyDescent="0.25">
      <c r="A10" s="96" t="s">
        <v>102</v>
      </c>
      <c r="B10" s="97">
        <v>1.49</v>
      </c>
      <c r="C10" s="51" t="s">
        <v>100</v>
      </c>
    </row>
    <row r="11" spans="1:3" ht="13.9" x14ac:dyDescent="0.25">
      <c r="A11" s="96" t="s">
        <v>101</v>
      </c>
      <c r="B11" s="97">
        <v>1.51</v>
      </c>
      <c r="C11" s="51" t="s">
        <v>100</v>
      </c>
    </row>
    <row r="12" spans="1:3" ht="13.9" x14ac:dyDescent="0.25">
      <c r="A12" s="96"/>
    </row>
    <row r="13" spans="1:3" ht="13.9" x14ac:dyDescent="0.25">
      <c r="A13" s="52" t="s">
        <v>99</v>
      </c>
    </row>
    <row r="14" spans="1:3" ht="13.9" x14ac:dyDescent="0.25">
      <c r="A14" s="51" t="s">
        <v>98</v>
      </c>
      <c r="B14" s="51">
        <v>100</v>
      </c>
    </row>
    <row r="15" spans="1:3" ht="13.9" x14ac:dyDescent="0.25">
      <c r="B15" s="51">
        <v>0.05</v>
      </c>
    </row>
    <row r="16" spans="1:3" ht="13.9" x14ac:dyDescent="0.25">
      <c r="B16" s="51">
        <v>0.3</v>
      </c>
    </row>
    <row r="17" spans="1:7" ht="13.9" x14ac:dyDescent="0.25">
      <c r="A17" s="51" t="s">
        <v>97</v>
      </c>
      <c r="B17" s="51">
        <v>0.05</v>
      </c>
      <c r="C17" s="51" t="s">
        <v>96</v>
      </c>
    </row>
    <row r="18" spans="1:7" ht="27.6" x14ac:dyDescent="0.25">
      <c r="A18" s="96" t="s">
        <v>95</v>
      </c>
      <c r="B18" s="51">
        <v>6.5000000000000002E-2</v>
      </c>
    </row>
    <row r="19" spans="1:7" ht="18.75" customHeight="1" x14ac:dyDescent="0.25">
      <c r="A19" s="132" t="s">
        <v>94</v>
      </c>
      <c r="B19" s="51">
        <v>8.0600000000000005E-2</v>
      </c>
      <c r="C19" s="51" t="s">
        <v>93</v>
      </c>
    </row>
    <row r="20" spans="1:7" x14ac:dyDescent="0.25">
      <c r="A20" s="132"/>
      <c r="B20" s="51">
        <v>7.5600000000000001E-2</v>
      </c>
      <c r="C20" s="51" t="s">
        <v>92</v>
      </c>
    </row>
    <row r="21" spans="1:7" ht="13.9" x14ac:dyDescent="0.25">
      <c r="A21" s="96"/>
    </row>
    <row r="22" spans="1:7" ht="13.9" x14ac:dyDescent="0.25">
      <c r="A22" s="52" t="s">
        <v>91</v>
      </c>
    </row>
    <row r="23" spans="1:7" ht="13.9" x14ac:dyDescent="0.25">
      <c r="B23" s="95" t="s">
        <v>85</v>
      </c>
    </row>
    <row r="24" spans="1:7" ht="13.9" x14ac:dyDescent="0.25">
      <c r="A24" s="94" t="s">
        <v>90</v>
      </c>
      <c r="B24" s="93">
        <f>(B19*99+B40)/100</f>
        <v>7.9794000000000004E-2</v>
      </c>
    </row>
    <row r="25" spans="1:7" ht="13.9" x14ac:dyDescent="0.25">
      <c r="A25" s="94" t="s">
        <v>89</v>
      </c>
      <c r="B25" s="93">
        <f>(B20*99+B39)/100</f>
        <v>7.4990329466102054E-2</v>
      </c>
    </row>
    <row r="27" spans="1:7" s="92" customFormat="1" x14ac:dyDescent="0.25"/>
    <row r="29" spans="1:7" x14ac:dyDescent="0.25">
      <c r="A29" s="89" t="s">
        <v>88</v>
      </c>
      <c r="B29" s="29"/>
      <c r="D29" s="87"/>
      <c r="E29" s="90"/>
      <c r="F29" s="90"/>
      <c r="G29" s="90"/>
    </row>
    <row r="30" spans="1:7" x14ac:dyDescent="0.25">
      <c r="A30" s="29"/>
      <c r="B30" s="29"/>
      <c r="D30" s="87"/>
      <c r="E30" s="90"/>
      <c r="F30" s="90"/>
      <c r="G30" s="90"/>
    </row>
    <row r="31" spans="1:7" x14ac:dyDescent="0.25">
      <c r="A31" s="91" t="s">
        <v>54</v>
      </c>
      <c r="B31" s="91">
        <v>0.5</v>
      </c>
      <c r="D31" s="87"/>
      <c r="E31" s="90"/>
      <c r="F31" s="90"/>
      <c r="G31" s="90"/>
    </row>
    <row r="32" spans="1:7" x14ac:dyDescent="0.25">
      <c r="A32" s="29"/>
      <c r="B32" s="29"/>
      <c r="D32" s="87"/>
      <c r="E32" s="87"/>
      <c r="F32" s="87"/>
    </row>
    <row r="33" spans="1:6" x14ac:dyDescent="0.25">
      <c r="A33" s="29"/>
      <c r="B33" s="29"/>
      <c r="D33" s="87"/>
      <c r="E33" s="87"/>
      <c r="F33" s="87"/>
    </row>
    <row r="34" spans="1:6" x14ac:dyDescent="0.25">
      <c r="A34" s="29"/>
      <c r="B34" s="29"/>
      <c r="D34" s="87"/>
      <c r="E34" s="87"/>
      <c r="F34" s="87"/>
    </row>
    <row r="35" spans="1:6" x14ac:dyDescent="0.25">
      <c r="A35" s="36" t="s">
        <v>87</v>
      </c>
      <c r="B35" s="88">
        <f>B9*EXP((B15-B16^2/2)*B31+B16*SQRT(B31)*B18)</f>
        <v>1.5246329466102058</v>
      </c>
      <c r="D35" s="87"/>
      <c r="E35" s="87"/>
      <c r="F35" s="87"/>
    </row>
    <row r="36" spans="1:6" x14ac:dyDescent="0.25">
      <c r="A36" s="29"/>
      <c r="B36" s="29"/>
      <c r="D36" s="87"/>
      <c r="E36" s="87"/>
      <c r="F36" s="87"/>
    </row>
    <row r="37" spans="1:6" x14ac:dyDescent="0.25">
      <c r="A37" s="29"/>
      <c r="B37" s="29"/>
      <c r="D37" s="87"/>
      <c r="E37" s="87"/>
      <c r="F37" s="87"/>
    </row>
    <row r="38" spans="1:6" x14ac:dyDescent="0.25">
      <c r="A38" s="89" t="s">
        <v>86</v>
      </c>
      <c r="B38" s="45" t="s">
        <v>85</v>
      </c>
      <c r="D38" s="87"/>
      <c r="E38" s="87"/>
      <c r="F38" s="87"/>
    </row>
    <row r="39" spans="1:6" x14ac:dyDescent="0.25">
      <c r="A39" s="36" t="s">
        <v>84</v>
      </c>
      <c r="B39" s="88">
        <f>MAX(B35-B11,0)</f>
        <v>1.4632946610205755E-2</v>
      </c>
      <c r="D39" s="87"/>
      <c r="E39" s="87"/>
      <c r="F39" s="87"/>
    </row>
    <row r="40" spans="1:6" x14ac:dyDescent="0.25">
      <c r="A40" s="36" t="s">
        <v>83</v>
      </c>
      <c r="B40" s="88">
        <f>MAX(B10-B35,0)</f>
        <v>0</v>
      </c>
      <c r="D40" s="87"/>
      <c r="E40" s="87"/>
      <c r="F40" s="87"/>
    </row>
    <row r="45" spans="1:6" x14ac:dyDescent="0.25">
      <c r="A45" s="86"/>
    </row>
    <row r="46" spans="1:6" x14ac:dyDescent="0.25">
      <c r="A46" s="86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4B31-A188-4C7C-AC0E-0E79C23A6CCC}">
  <dimension ref="A1:F24"/>
  <sheetViews>
    <sheetView zoomScale="120" zoomScaleNormal="120" workbookViewId="0"/>
  </sheetViews>
  <sheetFormatPr defaultColWidth="9.140625" defaultRowHeight="15" x14ac:dyDescent="0.25"/>
  <cols>
    <col min="1" max="1" width="22" style="101" customWidth="1"/>
    <col min="2" max="2" width="28.28515625" style="101" customWidth="1"/>
    <col min="3" max="3" width="26.7109375" style="101" customWidth="1"/>
    <col min="4" max="5" width="9.140625" style="101"/>
    <col min="6" max="6" width="10.42578125" style="101" bestFit="1" customWidth="1"/>
    <col min="7" max="16384" width="9.140625" style="101"/>
  </cols>
  <sheetData>
    <row r="1" spans="1:6" ht="15.6" x14ac:dyDescent="0.3">
      <c r="A1" s="117" t="s">
        <v>0</v>
      </c>
      <c r="C1" s="101" t="s">
        <v>123</v>
      </c>
    </row>
    <row r="3" spans="1:6" ht="13.9" x14ac:dyDescent="0.25">
      <c r="A3" s="116" t="s">
        <v>122</v>
      </c>
    </row>
    <row r="4" spans="1:6" ht="13.9" x14ac:dyDescent="0.25">
      <c r="A4" s="116"/>
    </row>
    <row r="5" spans="1:6" ht="13.9" x14ac:dyDescent="0.25">
      <c r="A5" s="116" t="s">
        <v>61</v>
      </c>
      <c r="B5" s="101" t="s">
        <v>121</v>
      </c>
    </row>
    <row r="6" spans="1:6" ht="13.9" x14ac:dyDescent="0.25">
      <c r="B6" s="101" t="s">
        <v>120</v>
      </c>
    </row>
    <row r="7" spans="1:6" ht="14.45" thickBot="1" x14ac:dyDescent="0.3"/>
    <row r="8" spans="1:6" ht="44.25" customHeight="1" x14ac:dyDescent="0.25">
      <c r="A8" s="115" t="s">
        <v>119</v>
      </c>
      <c r="B8" s="114" t="s">
        <v>118</v>
      </c>
      <c r="C8" s="113" t="s">
        <v>117</v>
      </c>
      <c r="D8" s="112" t="s">
        <v>116</v>
      </c>
      <c r="E8" s="112" t="s">
        <v>115</v>
      </c>
      <c r="F8" s="112" t="s">
        <v>114</v>
      </c>
    </row>
    <row r="9" spans="1:6" ht="13.9" x14ac:dyDescent="0.25">
      <c r="A9" s="111">
        <v>1</v>
      </c>
      <c r="B9" s="5">
        <v>23150</v>
      </c>
      <c r="C9" s="6">
        <v>32410</v>
      </c>
      <c r="D9" s="108">
        <f>C9-B9</f>
        <v>9260</v>
      </c>
      <c r="E9" s="108">
        <f>$B$15*D9</f>
        <v>555.6</v>
      </c>
      <c r="F9" s="108">
        <f>E9*(1+$B$16)^-A9</f>
        <v>545.77603143418469</v>
      </c>
    </row>
    <row r="10" spans="1:6" ht="13.9" x14ac:dyDescent="0.25">
      <c r="A10" s="111">
        <v>2</v>
      </c>
      <c r="B10" s="5">
        <v>17560</v>
      </c>
      <c r="C10" s="6">
        <v>23710</v>
      </c>
      <c r="D10" s="108">
        <f>C10-B10</f>
        <v>6150</v>
      </c>
      <c r="E10" s="108">
        <f>$B$15*D10</f>
        <v>369</v>
      </c>
      <c r="F10" s="108">
        <f>E10*(1+$B$16)^-A10</f>
        <v>356.06624955129865</v>
      </c>
    </row>
    <row r="11" spans="1:6" ht="13.9" x14ac:dyDescent="0.25">
      <c r="A11" s="111">
        <v>3</v>
      </c>
      <c r="B11" s="5">
        <v>12510</v>
      </c>
      <c r="C11" s="6">
        <v>16260</v>
      </c>
      <c r="D11" s="108">
        <f>C11-B11</f>
        <v>3750</v>
      </c>
      <c r="E11" s="108">
        <f>$B$15*D11</f>
        <v>225</v>
      </c>
      <c r="F11" s="108">
        <f>E11*(1+$B$16)^-A11</f>
        <v>213.27462357521838</v>
      </c>
    </row>
    <row r="12" spans="1:6" ht="13.9" x14ac:dyDescent="0.25">
      <c r="A12" s="111">
        <v>4</v>
      </c>
      <c r="B12" s="5">
        <v>8070</v>
      </c>
      <c r="C12" s="6">
        <v>10120</v>
      </c>
      <c r="D12" s="108">
        <f>C12-B12</f>
        <v>2050</v>
      </c>
      <c r="E12" s="108">
        <f>$B$15*D12</f>
        <v>123</v>
      </c>
      <c r="F12" s="108">
        <f>E12*(1+$B$16)^-A12</f>
        <v>114.52861252893194</v>
      </c>
    </row>
    <row r="13" spans="1:6" ht="14.45" thickBot="1" x14ac:dyDescent="0.3">
      <c r="A13" s="110">
        <v>5</v>
      </c>
      <c r="B13" s="7">
        <v>4250</v>
      </c>
      <c r="C13" s="8">
        <v>5100</v>
      </c>
      <c r="D13" s="108">
        <f>C13-B13</f>
        <v>850</v>
      </c>
      <c r="E13" s="108">
        <f>$B$15*D13</f>
        <v>51</v>
      </c>
      <c r="F13" s="108">
        <f>E13*(1+$B$16)^-A13</f>
        <v>46.647812856194427</v>
      </c>
    </row>
    <row r="14" spans="1:6" ht="13.9" x14ac:dyDescent="0.25">
      <c r="A14" s="105"/>
      <c r="B14" s="104"/>
      <c r="C14" s="104"/>
      <c r="D14" s="109"/>
      <c r="E14" s="108"/>
      <c r="F14" s="107">
        <f>SUM(F9:F13)</f>
        <v>1276.293329945828</v>
      </c>
    </row>
    <row r="15" spans="1:6" ht="13.9" x14ac:dyDescent="0.25">
      <c r="A15" s="105" t="s">
        <v>113</v>
      </c>
      <c r="B15" s="106">
        <v>0.06</v>
      </c>
      <c r="C15" s="104"/>
    </row>
    <row r="16" spans="1:6" ht="13.9" x14ac:dyDescent="0.25">
      <c r="A16" s="105" t="s">
        <v>112</v>
      </c>
      <c r="B16" s="106">
        <v>1.7999999999999999E-2</v>
      </c>
      <c r="C16" s="104"/>
    </row>
    <row r="17" spans="1:3" ht="13.9" x14ac:dyDescent="0.25">
      <c r="A17" s="105"/>
      <c r="B17" s="104"/>
      <c r="C17" s="104"/>
    </row>
    <row r="18" spans="1:3" ht="14.45" thickBot="1" x14ac:dyDescent="0.3">
      <c r="A18" s="103" t="s">
        <v>111</v>
      </c>
    </row>
    <row r="19" spans="1:3" ht="15.75" thickBot="1" x14ac:dyDescent="0.3">
      <c r="A19" s="101" t="s">
        <v>110</v>
      </c>
      <c r="C19" s="102">
        <f>F14</f>
        <v>1276.293329945828</v>
      </c>
    </row>
    <row r="24" spans="1:3" x14ac:dyDescent="0.25">
      <c r="C24" s="101" t="s">
        <v>109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0BC6-0ECD-4FBD-A4AF-1F9991CD5A1F}">
  <dimension ref="A1:G35"/>
  <sheetViews>
    <sheetView zoomScale="120" zoomScaleNormal="120" workbookViewId="0"/>
  </sheetViews>
  <sheetFormatPr defaultColWidth="9.140625" defaultRowHeight="15" x14ac:dyDescent="0.25"/>
  <cols>
    <col min="1" max="1" width="12.85546875" style="101" customWidth="1"/>
    <col min="2" max="2" width="18.28515625" style="101" customWidth="1"/>
    <col min="3" max="3" width="10.28515625" style="101" customWidth="1"/>
    <col min="4" max="5" width="9.140625" style="101"/>
    <col min="6" max="6" width="10.42578125" style="101" bestFit="1" customWidth="1"/>
    <col min="7" max="7" width="10.7109375" style="101" customWidth="1"/>
    <col min="8" max="16384" width="9.140625" style="101"/>
  </cols>
  <sheetData>
    <row r="1" spans="1:7" ht="15.6" x14ac:dyDescent="0.3">
      <c r="A1" s="117" t="s">
        <v>0</v>
      </c>
    </row>
    <row r="3" spans="1:7" ht="13.9" x14ac:dyDescent="0.25">
      <c r="A3" s="116" t="s">
        <v>143</v>
      </c>
    </row>
    <row r="4" spans="1:7" ht="13.9" x14ac:dyDescent="0.25">
      <c r="A4" s="116"/>
    </row>
    <row r="5" spans="1:7" ht="13.9" x14ac:dyDescent="0.25">
      <c r="A5" s="116" t="s">
        <v>61</v>
      </c>
      <c r="B5" s="101" t="s">
        <v>142</v>
      </c>
    </row>
    <row r="6" spans="1:7" ht="13.9" x14ac:dyDescent="0.25">
      <c r="A6" s="116" t="s">
        <v>59</v>
      </c>
      <c r="B6" s="101" t="s">
        <v>141</v>
      </c>
    </row>
    <row r="7" spans="1:7" ht="14.45" thickBot="1" x14ac:dyDescent="0.3"/>
    <row r="8" spans="1:7" ht="44.25" customHeight="1" x14ac:dyDescent="0.25">
      <c r="A8" s="131" t="s">
        <v>140</v>
      </c>
      <c r="B8" s="130" t="s">
        <v>139</v>
      </c>
    </row>
    <row r="9" spans="1:7" ht="13.9" x14ac:dyDescent="0.25">
      <c r="A9" s="129" t="s">
        <v>126</v>
      </c>
      <c r="B9" s="128">
        <v>27</v>
      </c>
    </row>
    <row r="10" spans="1:7" ht="13.9" x14ac:dyDescent="0.25">
      <c r="A10" s="129" t="s">
        <v>125</v>
      </c>
      <c r="B10" s="128">
        <v>15</v>
      </c>
    </row>
    <row r="11" spans="1:7" ht="13.9" x14ac:dyDescent="0.25">
      <c r="A11" s="129" t="s">
        <v>129</v>
      </c>
      <c r="B11" s="128">
        <v>0</v>
      </c>
    </row>
    <row r="12" spans="1:7" ht="14.45" thickBot="1" x14ac:dyDescent="0.3">
      <c r="A12" s="127" t="s">
        <v>138</v>
      </c>
      <c r="B12" s="126">
        <v>42</v>
      </c>
    </row>
    <row r="13" spans="1:7" ht="14.45" thickBot="1" x14ac:dyDescent="0.3">
      <c r="A13" s="105"/>
      <c r="B13" s="104"/>
    </row>
    <row r="14" spans="1:7" ht="15.75" x14ac:dyDescent="0.25">
      <c r="A14" s="133" t="s">
        <v>137</v>
      </c>
      <c r="B14" s="134"/>
      <c r="C14" s="137" t="s">
        <v>136</v>
      </c>
      <c r="D14" s="137"/>
      <c r="E14" s="137"/>
      <c r="F14" s="137"/>
      <c r="G14" s="138"/>
    </row>
    <row r="15" spans="1:7" ht="31.5" x14ac:dyDescent="0.25">
      <c r="A15" s="135"/>
      <c r="B15" s="136"/>
      <c r="C15" s="124" t="s">
        <v>126</v>
      </c>
      <c r="D15" s="124" t="s">
        <v>125</v>
      </c>
      <c r="E15" s="124" t="s">
        <v>129</v>
      </c>
      <c r="F15" s="124" t="s">
        <v>135</v>
      </c>
      <c r="G15" s="125" t="s">
        <v>134</v>
      </c>
    </row>
    <row r="16" spans="1:7" ht="15.75" x14ac:dyDescent="0.25">
      <c r="A16" s="139" t="s">
        <v>133</v>
      </c>
      <c r="B16" s="124" t="s">
        <v>126</v>
      </c>
      <c r="C16" s="123">
        <v>85</v>
      </c>
      <c r="D16" s="123">
        <v>13</v>
      </c>
      <c r="E16" s="123">
        <v>2</v>
      </c>
      <c r="F16" s="123">
        <v>0</v>
      </c>
      <c r="G16" s="122">
        <v>0.4</v>
      </c>
    </row>
    <row r="17" spans="1:7" ht="15.75" x14ac:dyDescent="0.25">
      <c r="A17" s="139"/>
      <c r="B17" s="124" t="s">
        <v>125</v>
      </c>
      <c r="C17" s="123">
        <v>12</v>
      </c>
      <c r="D17" s="123">
        <v>82</v>
      </c>
      <c r="E17" s="123">
        <v>4</v>
      </c>
      <c r="F17" s="123">
        <v>2</v>
      </c>
      <c r="G17" s="122">
        <v>0.25</v>
      </c>
    </row>
    <row r="18" spans="1:7" ht="16.5" thickBot="1" x14ac:dyDescent="0.3">
      <c r="A18" s="140"/>
      <c r="B18" s="121" t="s">
        <v>129</v>
      </c>
      <c r="C18" s="120">
        <v>5</v>
      </c>
      <c r="D18" s="120">
        <v>10</v>
      </c>
      <c r="E18" s="120">
        <v>76</v>
      </c>
      <c r="F18" s="120">
        <v>9</v>
      </c>
      <c r="G18" s="119">
        <v>0.2</v>
      </c>
    </row>
    <row r="19" spans="1:7" x14ac:dyDescent="0.25">
      <c r="A19" s="105"/>
      <c r="B19" s="104"/>
      <c r="C19" s="104"/>
    </row>
    <row r="20" spans="1:7" ht="15.75" thickBot="1" x14ac:dyDescent="0.3">
      <c r="A20" s="103" t="s">
        <v>91</v>
      </c>
    </row>
    <row r="21" spans="1:7" ht="15.75" thickBot="1" x14ac:dyDescent="0.3">
      <c r="A21" s="101" t="s">
        <v>132</v>
      </c>
      <c r="F21" s="118">
        <f>C29</f>
        <v>0.22499999999999998</v>
      </c>
      <c r="G21" s="101" t="s">
        <v>61</v>
      </c>
    </row>
    <row r="22" spans="1:7" ht="15.75" thickBot="1" x14ac:dyDescent="0.3">
      <c r="A22" s="101" t="s">
        <v>131</v>
      </c>
      <c r="F22" s="118">
        <f>C35</f>
        <v>1.1400000000000001</v>
      </c>
      <c r="G22" s="101" t="s">
        <v>59</v>
      </c>
    </row>
    <row r="25" spans="1:7" x14ac:dyDescent="0.25">
      <c r="A25" s="101" t="s">
        <v>61</v>
      </c>
      <c r="B25" s="101" t="s">
        <v>130</v>
      </c>
    </row>
    <row r="26" spans="1:7" x14ac:dyDescent="0.25">
      <c r="B26" s="101" t="s">
        <v>126</v>
      </c>
      <c r="C26" s="101">
        <f>B9*F16/100*(1-G16)</f>
        <v>0</v>
      </c>
    </row>
    <row r="27" spans="1:7" x14ac:dyDescent="0.25">
      <c r="B27" s="101" t="s">
        <v>125</v>
      </c>
      <c r="C27" s="101">
        <f>B10*F17/100*(1-G17)</f>
        <v>0.22499999999999998</v>
      </c>
    </row>
    <row r="28" spans="1:7" x14ac:dyDescent="0.25">
      <c r="B28" s="101" t="s">
        <v>129</v>
      </c>
      <c r="C28" s="101">
        <f>B11*F18/100*(1-G18)</f>
        <v>0</v>
      </c>
    </row>
    <row r="29" spans="1:7" x14ac:dyDescent="0.25">
      <c r="B29" s="101" t="s">
        <v>124</v>
      </c>
      <c r="C29" s="101">
        <f>SUM(C26:C28)</f>
        <v>0.22499999999999998</v>
      </c>
    </row>
    <row r="31" spans="1:7" x14ac:dyDescent="0.25">
      <c r="A31" s="101" t="s">
        <v>59</v>
      </c>
      <c r="B31" s="101" t="s">
        <v>128</v>
      </c>
    </row>
    <row r="32" spans="1:7" x14ac:dyDescent="0.25">
      <c r="B32" s="101" t="s">
        <v>127</v>
      </c>
    </row>
    <row r="33" spans="2:3" x14ac:dyDescent="0.25">
      <c r="B33" s="101" t="s">
        <v>126</v>
      </c>
      <c r="C33" s="101">
        <f>B9*E16/100</f>
        <v>0.54</v>
      </c>
    </row>
    <row r="34" spans="2:3" x14ac:dyDescent="0.25">
      <c r="B34" s="101" t="s">
        <v>125</v>
      </c>
      <c r="C34" s="101">
        <f>B10*E17/100</f>
        <v>0.6</v>
      </c>
    </row>
    <row r="35" spans="2:3" x14ac:dyDescent="0.25">
      <c r="B35" s="101" t="s">
        <v>124</v>
      </c>
      <c r="C35" s="101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04E5-0DD4-4EC7-BBE4-B21B724AB73E}">
  <dimension ref="A1:D77"/>
  <sheetViews>
    <sheetView zoomScale="120" zoomScaleNormal="120" workbookViewId="0">
      <selection activeCell="B34" sqref="B34"/>
    </sheetView>
  </sheetViews>
  <sheetFormatPr defaultColWidth="9.140625" defaultRowHeight="15" x14ac:dyDescent="0.25"/>
  <cols>
    <col min="1" max="1" width="23.28515625" style="1" customWidth="1"/>
    <col min="2" max="4" width="31.42578125" style="1" customWidth="1"/>
    <col min="5" max="5" width="28.28515625" style="1" customWidth="1"/>
    <col min="6" max="16384" width="9.140625" style="1"/>
  </cols>
  <sheetData>
    <row r="1" spans="1:4" ht="15.6" x14ac:dyDescent="0.3">
      <c r="A1" s="3" t="s">
        <v>0</v>
      </c>
    </row>
    <row r="3" spans="1:4" ht="13.9" x14ac:dyDescent="0.25">
      <c r="A3" s="2" t="s">
        <v>1</v>
      </c>
    </row>
    <row r="4" spans="1:4" ht="13.9" x14ac:dyDescent="0.25">
      <c r="A4" s="2"/>
    </row>
    <row r="5" spans="1:4" ht="13.9" x14ac:dyDescent="0.25">
      <c r="A5" s="1" t="s">
        <v>16</v>
      </c>
    </row>
    <row r="6" spans="1:4" ht="14.45" thickBot="1" x14ac:dyDescent="0.3"/>
    <row r="7" spans="1:4" ht="14.45" thickBot="1" x14ac:dyDescent="0.3">
      <c r="A7" s="15"/>
      <c r="B7" s="16" t="s">
        <v>12</v>
      </c>
      <c r="C7" s="17" t="s">
        <v>13</v>
      </c>
      <c r="D7" s="18" t="s">
        <v>14</v>
      </c>
    </row>
    <row r="8" spans="1:4" ht="13.9" x14ac:dyDescent="0.25">
      <c r="A8" s="19" t="s">
        <v>4</v>
      </c>
      <c r="B8" s="12">
        <v>56300</v>
      </c>
      <c r="C8" s="13">
        <v>65900</v>
      </c>
      <c r="D8" s="14">
        <v>70600</v>
      </c>
    </row>
    <row r="9" spans="1:4" ht="13.9" x14ac:dyDescent="0.25">
      <c r="A9" s="20" t="s">
        <v>5</v>
      </c>
      <c r="B9" s="5">
        <v>511800</v>
      </c>
      <c r="C9" s="5">
        <v>624300</v>
      </c>
      <c r="D9" s="6">
        <v>676200</v>
      </c>
    </row>
    <row r="10" spans="1:4" ht="13.9" x14ac:dyDescent="0.25">
      <c r="A10" s="20" t="s">
        <v>6</v>
      </c>
      <c r="B10" s="5">
        <v>14300</v>
      </c>
      <c r="C10" s="10">
        <v>20100</v>
      </c>
      <c r="D10" s="6">
        <v>23500</v>
      </c>
    </row>
    <row r="11" spans="1:4" ht="13.9" x14ac:dyDescent="0.25">
      <c r="A11" s="20" t="s">
        <v>7</v>
      </c>
      <c r="B11" s="5">
        <v>11000</v>
      </c>
      <c r="C11" s="10">
        <v>14200</v>
      </c>
      <c r="D11" s="6">
        <v>19200</v>
      </c>
    </row>
    <row r="12" spans="1:4" ht="13.9" x14ac:dyDescent="0.25">
      <c r="A12" s="20" t="s">
        <v>8</v>
      </c>
      <c r="B12" s="5">
        <v>355600</v>
      </c>
      <c r="C12" s="10">
        <v>533100</v>
      </c>
      <c r="D12" s="6">
        <v>623000</v>
      </c>
    </row>
    <row r="13" spans="1:4" ht="13.9" x14ac:dyDescent="0.25">
      <c r="A13" s="20" t="s">
        <v>9</v>
      </c>
      <c r="B13" s="5">
        <v>179500</v>
      </c>
      <c r="C13" s="10">
        <v>270500</v>
      </c>
      <c r="D13" s="6">
        <v>317900</v>
      </c>
    </row>
    <row r="14" spans="1:4" ht="13.9" x14ac:dyDescent="0.25">
      <c r="A14" s="20" t="s">
        <v>10</v>
      </c>
      <c r="B14" s="5">
        <v>100</v>
      </c>
      <c r="C14" s="10">
        <v>100</v>
      </c>
      <c r="D14" s="6">
        <v>100</v>
      </c>
    </row>
    <row r="15" spans="1:4" ht="14.45" thickBot="1" x14ac:dyDescent="0.3">
      <c r="A15" s="21" t="s">
        <v>11</v>
      </c>
      <c r="B15" s="7">
        <v>23200</v>
      </c>
      <c r="C15" s="11">
        <v>34000</v>
      </c>
      <c r="D15" s="8">
        <v>40500</v>
      </c>
    </row>
    <row r="17" spans="1:4" ht="13.9" x14ac:dyDescent="0.25">
      <c r="A17" s="1" t="s">
        <v>23</v>
      </c>
      <c r="C17" s="22">
        <v>1092400</v>
      </c>
    </row>
    <row r="19" spans="1:4" ht="13.9" x14ac:dyDescent="0.25">
      <c r="A19" s="4" t="s">
        <v>38</v>
      </c>
    </row>
    <row r="21" spans="1:4" ht="13.9" x14ac:dyDescent="0.25">
      <c r="A21" s="1" t="s">
        <v>17</v>
      </c>
      <c r="B21" s="1" t="s">
        <v>2</v>
      </c>
    </row>
    <row r="23" spans="1:4" x14ac:dyDescent="0.25">
      <c r="A23" s="1" t="s">
        <v>15</v>
      </c>
      <c r="B23" s="1" t="s">
        <v>24</v>
      </c>
    </row>
    <row r="27" spans="1:4" x14ac:dyDescent="0.25">
      <c r="A27" s="1" t="s">
        <v>25</v>
      </c>
      <c r="B27" s="24">
        <f>SQRT(B8^2+B9^2+B10^2+(B11/2)^2+(B11/2+B12)^2+B13^2+B15^2)+B14</f>
        <v>654695.57743693935</v>
      </c>
      <c r="C27" s="24">
        <f t="shared" ref="C27:D27" si="0">SQRT(C8^2+C9^2+C10^2+(C11/2)^2+(C11/2+C12)^2+C13^2+C15^2)+C14</f>
        <v>872275.446799553</v>
      </c>
      <c r="D27" s="24">
        <f t="shared" si="0"/>
        <v>982830.19186346361</v>
      </c>
    </row>
    <row r="28" spans="1:4" x14ac:dyDescent="0.25">
      <c r="A28" s="1" t="s">
        <v>29</v>
      </c>
      <c r="B28" s="1">
        <f>($C17-B27)/$C17*100</f>
        <v>40.068145602623638</v>
      </c>
      <c r="C28" s="1">
        <f t="shared" ref="C28:D28" si="1">($C17-C27)/$C17*100</f>
        <v>20.150544965255126</v>
      </c>
      <c r="D28" s="1">
        <f t="shared" si="1"/>
        <v>10.03019115127576</v>
      </c>
    </row>
    <row r="29" spans="1:4" ht="15.75" thickBot="1" x14ac:dyDescent="0.3"/>
    <row r="30" spans="1:4" ht="15.75" thickBot="1" x14ac:dyDescent="0.3">
      <c r="A30" s="1" t="s">
        <v>39</v>
      </c>
      <c r="D30" s="25">
        <f>D27</f>
        <v>982830.19186346361</v>
      </c>
    </row>
    <row r="33" spans="1:4" x14ac:dyDescent="0.25">
      <c r="A33" s="1" t="s">
        <v>19</v>
      </c>
    </row>
    <row r="35" spans="1:4" x14ac:dyDescent="0.25">
      <c r="A35" s="23" t="s">
        <v>20</v>
      </c>
    </row>
    <row r="36" spans="1:4" x14ac:dyDescent="0.25">
      <c r="A36" s="23" t="s">
        <v>21</v>
      </c>
    </row>
    <row r="37" spans="1:4" x14ac:dyDescent="0.25">
      <c r="A37" s="23" t="s">
        <v>22</v>
      </c>
    </row>
    <row r="39" spans="1:4" x14ac:dyDescent="0.25">
      <c r="A39" s="1" t="s">
        <v>18</v>
      </c>
      <c r="B39" s="1" t="s">
        <v>3</v>
      </c>
    </row>
    <row r="41" spans="1:4" x14ac:dyDescent="0.25">
      <c r="A41" s="1" t="s">
        <v>15</v>
      </c>
      <c r="B41" s="1" t="s">
        <v>26</v>
      </c>
    </row>
    <row r="42" spans="1:4" x14ac:dyDescent="0.25">
      <c r="B42" s="1" t="s">
        <v>27</v>
      </c>
    </row>
    <row r="45" spans="1:4" x14ac:dyDescent="0.25">
      <c r="A45" s="9"/>
    </row>
    <row r="46" spans="1:4" x14ac:dyDescent="0.25">
      <c r="B46" s="1" t="s">
        <v>28</v>
      </c>
    </row>
    <row r="47" spans="1:4" x14ac:dyDescent="0.25">
      <c r="B47" s="24">
        <f>SQRT(B8^2+0^2+B10^2+(B11/2)^2+(B11/2+B12)^2+B13^2+B15^2)+B14</f>
        <v>408212.88879426487</v>
      </c>
      <c r="C47" s="24">
        <f t="shared" ref="C47:D47" si="2">SQRT(C8^2+0^2+C10^2+(C11/2)^2+(C11/2+C12)^2+C13^2+C15^2)+C14</f>
        <v>609148.04408190981</v>
      </c>
      <c r="D47" s="24">
        <f t="shared" si="2"/>
        <v>713200.4066749647</v>
      </c>
    </row>
    <row r="48" spans="1:4" x14ac:dyDescent="0.25">
      <c r="B48" s="1" t="s">
        <v>29</v>
      </c>
    </row>
    <row r="49" spans="2:4" x14ac:dyDescent="0.25">
      <c r="B49" s="1">
        <f>($C17-B47)/$C17*100</f>
        <v>62.631555401477037</v>
      </c>
      <c r="C49" s="1">
        <f t="shared" ref="C49:D49" si="3">($C17-C47)/$C17*100</f>
        <v>44.237637854091012</v>
      </c>
      <c r="D49" s="1">
        <f t="shared" si="3"/>
        <v>34.712522274353283</v>
      </c>
    </row>
    <row r="50" spans="2:4" ht="15.75" thickBot="1" x14ac:dyDescent="0.3">
      <c r="B50" s="1" t="s">
        <v>30</v>
      </c>
    </row>
    <row r="51" spans="2:4" ht="15.75" thickBot="1" x14ac:dyDescent="0.3">
      <c r="B51" s="1">
        <f>B49-B$28</f>
        <v>22.563409798853399</v>
      </c>
      <c r="C51" s="1">
        <f t="shared" ref="C51:D51" si="4">C49-C28</f>
        <v>24.087092888835887</v>
      </c>
      <c r="D51" s="26">
        <f t="shared" si="4"/>
        <v>24.682331123077525</v>
      </c>
    </row>
    <row r="53" spans="2:4" x14ac:dyDescent="0.25">
      <c r="B53" s="1" t="s">
        <v>31</v>
      </c>
    </row>
    <row r="54" spans="2:4" x14ac:dyDescent="0.25">
      <c r="B54" s="1" t="s">
        <v>32</v>
      </c>
    </row>
    <row r="56" spans="2:4" x14ac:dyDescent="0.25">
      <c r="B56" s="1" t="s">
        <v>33</v>
      </c>
    </row>
    <row r="57" spans="2:4" x14ac:dyDescent="0.25">
      <c r="B57" s="1" t="s">
        <v>34</v>
      </c>
      <c r="C57" s="24">
        <f>($C17+100000)</f>
        <v>1192400</v>
      </c>
    </row>
    <row r="58" spans="2:4" x14ac:dyDescent="0.25">
      <c r="B58" s="1" t="s">
        <v>35</v>
      </c>
      <c r="C58" s="1">
        <f>C57/$C17</f>
        <v>1.0915415598681801</v>
      </c>
    </row>
    <row r="62" spans="2:4" x14ac:dyDescent="0.25">
      <c r="B62" s="1" t="s">
        <v>36</v>
      </c>
    </row>
    <row r="63" spans="2:4" x14ac:dyDescent="0.25">
      <c r="B63" s="24">
        <f>SQRT((B8*$C58)^2+(B9*$C58)^2+(B10*$C58)^2+(B11/2)^2+(B11/2+B12)^2+B13^2+B15^2)+B14</f>
        <v>692409.95024619065</v>
      </c>
      <c r="C63" s="24">
        <f t="shared" ref="C63:D63" si="5">SQRT((C8*$C58)^2+(C9*$C58)^2+(C10*$C58)^2+(C11/2)^2+(C11/2+C12)^2+C13^2+C15^2)+C14</f>
        <v>914551.55112740619</v>
      </c>
      <c r="D63" s="24">
        <f t="shared" si="5"/>
        <v>1026922.5019061801</v>
      </c>
    </row>
    <row r="64" spans="2:4" x14ac:dyDescent="0.25">
      <c r="B64" s="1" t="s">
        <v>29</v>
      </c>
    </row>
    <row r="65" spans="2:4" x14ac:dyDescent="0.25">
      <c r="B65" s="1">
        <f>($C57-B63)/$C57*100</f>
        <v>41.931403032020242</v>
      </c>
      <c r="C65" s="1">
        <f t="shared" ref="C65:D65" si="6">($C57-C63)/$C57*100</f>
        <v>23.301614296594582</v>
      </c>
      <c r="D65" s="1">
        <f t="shared" si="6"/>
        <v>13.877683503339478</v>
      </c>
    </row>
    <row r="66" spans="2:4" ht="15.75" thickBot="1" x14ac:dyDescent="0.3">
      <c r="B66" s="1" t="s">
        <v>30</v>
      </c>
    </row>
    <row r="67" spans="2:4" ht="15.75" thickBot="1" x14ac:dyDescent="0.3">
      <c r="B67" s="1">
        <f>B65-B$28</f>
        <v>1.8632574293966044</v>
      </c>
      <c r="C67" s="1">
        <f t="shared" ref="C67:D67" si="7">C65-C$28</f>
        <v>3.1510693313394569</v>
      </c>
      <c r="D67" s="26">
        <f t="shared" si="7"/>
        <v>3.8474923520637176</v>
      </c>
    </row>
    <row r="70" spans="2:4" x14ac:dyDescent="0.25">
      <c r="B70" s="1" t="s">
        <v>37</v>
      </c>
    </row>
    <row r="72" spans="2:4" x14ac:dyDescent="0.25">
      <c r="B72" s="1" t="s">
        <v>36</v>
      </c>
    </row>
    <row r="73" spans="2:4" x14ac:dyDescent="0.25">
      <c r="B73" s="24">
        <f>SQRT(B8^2+B9^2+B10^2+(B11/2)^2+(B11/2+B12)^2+(0.5*B13)^2+B15^2)+B14</f>
        <v>635969.62696766702</v>
      </c>
      <c r="C73" s="24">
        <f t="shared" ref="C73:D73" si="8">SQRT(C8^2+C9^2+C10^2+(C11/2)^2+(C11/2+C12)^2+(0.5*C13)^2+C15^2)+C14</f>
        <v>840226.37293445319</v>
      </c>
      <c r="D73" s="24">
        <f t="shared" si="8"/>
        <v>943478.6739692603</v>
      </c>
    </row>
    <row r="74" spans="2:4" x14ac:dyDescent="0.25">
      <c r="B74" s="1" t="s">
        <v>29</v>
      </c>
    </row>
    <row r="75" spans="2:4" x14ac:dyDescent="0.25">
      <c r="B75" s="1">
        <f>($C17-B73)/$C17*100</f>
        <v>41.782348318595112</v>
      </c>
      <c r="C75" s="1">
        <f t="shared" ref="C75:D75" si="9">($C17-C73)/$C17*100</f>
        <v>23.084367179196889</v>
      </c>
      <c r="D75" s="1">
        <f t="shared" si="9"/>
        <v>13.632490482491733</v>
      </c>
    </row>
    <row r="76" spans="2:4" ht="15.75" thickBot="1" x14ac:dyDescent="0.3">
      <c r="B76" s="1" t="s">
        <v>30</v>
      </c>
    </row>
    <row r="77" spans="2:4" ht="15.75" thickBot="1" x14ac:dyDescent="0.3">
      <c r="B77" s="1">
        <f>B75-B$28</f>
        <v>1.7142027159714743</v>
      </c>
      <c r="C77" s="1">
        <f t="shared" ref="C77:D77" si="10">C75-C$28</f>
        <v>2.9338222139417631</v>
      </c>
      <c r="D77" s="26">
        <f t="shared" si="10"/>
        <v>3.6022993312159723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74DC69CBF49448E495F0AE489C8B5" ma:contentTypeVersion="9" ma:contentTypeDescription="Create a new document." ma:contentTypeScope="" ma:versionID="3fff820ef0f2c2f05bd4d9ccf428c80a">
  <xsd:schema xmlns:xsd="http://www.w3.org/2001/XMLSchema" xmlns:xs="http://www.w3.org/2001/XMLSchema" xmlns:p="http://schemas.microsoft.com/office/2006/metadata/properties" xmlns:ns3="e6c8544d-c671-493e-9324-2bede3945591" targetNamespace="http://schemas.microsoft.com/office/2006/metadata/properties" ma:root="true" ma:fieldsID="fd8ea0eea16fcbbd8c6b248d16e83466" ns3:_="">
    <xsd:import namespace="e6c8544d-c671-493e-9324-2bede39455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8544d-c671-493e-9324-2bede3945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682CE4-8BC5-444E-BB25-C512A2C4D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97445-2DEC-4564-BBDF-C46C79048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c8544d-c671-493e-9324-2bede3945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A4F06-C70A-41EE-B6F7-B6E4B43CC8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6c8544d-c671-493e-9324-2bede394559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2(b)</vt:lpstr>
      <vt:lpstr>2(c)</vt:lpstr>
      <vt:lpstr>3(b)(i)</vt:lpstr>
      <vt:lpstr>4(b)(i)(ii)</vt:lpstr>
      <vt:lpstr>8(b)(ii)-(c)(i)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 Zionce</cp:lastModifiedBy>
  <cp:lastPrinted>2020-08-06T05:38:45Z</cp:lastPrinted>
  <dcterms:created xsi:type="dcterms:W3CDTF">2020-07-26T17:46:21Z</dcterms:created>
  <dcterms:modified xsi:type="dcterms:W3CDTF">2021-01-19T16:13:57Z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0x01010046F74DC69CBF49448E495F0AE489C8B5</vt:lpwstr>
  </property>
  <property fmtid="{D5CDD505-2E9C-101B-9397-08002B2CF9AE}" pid="3" name="MSIP_Label_3b4f6feb-bc60-48e1-9a65-8f26ae8b4956_Enabled">
    <vt:lpwstr>True</vt:lpwstr>
  </property>
  <property fmtid="{D5CDD505-2E9C-101B-9397-08002B2CF9AE}" pid="4" name="MSIP_Label_3b4f6feb-bc60-48e1-9a65-8f26ae8b4956_SiteId">
    <vt:lpwstr>3bea478c-1684-4a8c-8e85-045ec54ba430</vt:lpwstr>
  </property>
  <property fmtid="{D5CDD505-2E9C-101B-9397-08002B2CF9AE}" pid="5" name="MSIP_Label_3b4f6feb-bc60-48e1-9a65-8f26ae8b4956_Owner">
    <vt:lpwstr>Gifford.Nick@principal.com</vt:lpwstr>
  </property>
  <property fmtid="{D5CDD505-2E9C-101B-9397-08002B2CF9AE}" pid="6" name="MSIP_Label_3b4f6feb-bc60-48e1-9a65-8f26ae8b4956_SetDate">
    <vt:lpwstr>2020-10-22T20:40:22.9307512Z</vt:lpwstr>
  </property>
  <property fmtid="{D5CDD505-2E9C-101B-9397-08002B2CF9AE}" pid="7" name="MSIP_Label_3b4f6feb-bc60-48e1-9a65-8f26ae8b4956_Name">
    <vt:lpwstr>Public</vt:lpwstr>
  </property>
  <property fmtid="{D5CDD505-2E9C-101B-9397-08002B2CF9AE}" pid="8" name="MSIP_Label_3b4f6feb-bc60-48e1-9a65-8f26ae8b4956_Application">
    <vt:lpwstr>Microsoft Azure Information Protection</vt:lpwstr>
  </property>
  <property fmtid="{D5CDD505-2E9C-101B-9397-08002B2CF9AE}" pid="9" name="MSIP_Label_3b4f6feb-bc60-48e1-9a65-8f26ae8b4956_ActionId">
    <vt:lpwstr>53a87da1-6d39-448f-a690-36e05b685f8f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2020-10-22T20:40:22.9307512Z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ActionId">
    <vt:lpwstr>53a87da1-6d39-448f-a690-36e05b685f8f</vt:lpwstr>
  </property>
  <property fmtid="{D5CDD505-2E9C-101B-9397-08002B2CF9AE}" pid="18" name="MSIP_Label_af49516a-7525-4936-8880-b1dc1e580865_Parent">
    <vt:lpwstr>3b4f6feb-bc60-48e1-9a65-8f26ae8b4956</vt:lpwstr>
  </property>
  <property fmtid="{D5CDD505-2E9C-101B-9397-08002B2CF9AE}" pid="19" name="MSIP_Label_af49516a-7525-4936-8880-b1dc1e580865_Extended_MSFT_Method">
    <vt:lpwstr>Manual</vt:lpwstr>
  </property>
  <property fmtid="{D5CDD505-2E9C-101B-9397-08002B2CF9AE}" pid="20" name="Sensitivity">
    <vt:lpwstr>Public Non-visible label</vt:lpwstr>
  </property>
</Properties>
</file>